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wl.sharepoint.com/sites/RegulationDepartment/Shared Documents/Charging/NAV charges/2025-26/"/>
    </mc:Choice>
  </mc:AlternateContent>
  <xr:revisionPtr revIDLastSave="2" documentId="8_{D10B155E-EBB0-4B8F-B3A9-91C734CB079B}" xr6:coauthVersionLast="47" xr6:coauthVersionMax="47" xr10:uidLastSave="{2D06F34F-1816-4730-AB10-9117EE6239A0}"/>
  <bookViews>
    <workbookView xWindow="28680" yWindow="-120" windowWidth="29040" windowHeight="15840" xr2:uid="{4678AA5D-45A8-462C-A247-A4C08968D01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4" i="1" l="1"/>
  <c r="D47" i="1"/>
  <c r="D44" i="1"/>
  <c r="D40" i="1"/>
  <c r="D41" i="1" s="1"/>
  <c r="D35" i="1"/>
  <c r="D28" i="1"/>
  <c r="D27" i="1"/>
  <c r="D11" i="1"/>
  <c r="D49" i="1" l="1"/>
  <c r="D56" i="1" s="1"/>
  <c r="D58" i="1" s="1"/>
  <c r="F58" i="1" s="1"/>
  <c r="F60" i="1" s="1"/>
  <c r="D29" i="1"/>
  <c r="F54" i="1"/>
  <c r="F62" i="1" l="1"/>
  <c r="F27" i="1"/>
  <c r="F28" i="1"/>
  <c r="G28" i="1" s="1"/>
  <c r="G27" i="1" l="1"/>
  <c r="F29" i="1"/>
  <c r="G29" i="1" s="1"/>
</calcChain>
</file>

<file path=xl/sharedStrings.xml><?xml version="1.0" encoding="utf-8"?>
<sst xmlns="http://schemas.openxmlformats.org/spreadsheetml/2006/main" count="85" uniqueCount="59">
  <si>
    <t xml:space="preserve">Contact: </t>
  </si>
  <si>
    <t>Regulation@portsmouthwater.co.uk</t>
  </si>
  <si>
    <t>Units</t>
  </si>
  <si>
    <t>Number of households</t>
  </si>
  <si>
    <t>nr</t>
  </si>
  <si>
    <t>Number of non-households</t>
  </si>
  <si>
    <t>Input cell</t>
  </si>
  <si>
    <t>Assumed density rate - households</t>
  </si>
  <si>
    <t>m</t>
  </si>
  <si>
    <t xml:space="preserve">Fixed values </t>
  </si>
  <si>
    <t>Assumed density rate - non-households</t>
  </si>
  <si>
    <t>Calculated cell</t>
  </si>
  <si>
    <t>Length of mains</t>
  </si>
  <si>
    <t>km</t>
  </si>
  <si>
    <t>Number of PWL measured households</t>
  </si>
  <si>
    <t>Number of PWL measured non-households</t>
  </si>
  <si>
    <t>Annual water demand per household</t>
  </si>
  <si>
    <t>m3</t>
  </si>
  <si>
    <t>Annual water demand per non-household</t>
  </si>
  <si>
    <t>Wholesale Tariffs (from 1 July 2023)</t>
  </si>
  <si>
    <t>Household measured standing charge</t>
  </si>
  <si>
    <t>£</t>
  </si>
  <si>
    <t>Non-household measured standing charge</t>
  </si>
  <si>
    <t>Household volume charge</t>
  </si>
  <si>
    <t>£/m3</t>
  </si>
  <si>
    <t>Non-household volume charge (standard)</t>
  </si>
  <si>
    <t>SOC</t>
  </si>
  <si>
    <t>NAV</t>
  </si>
  <si>
    <t>Discount</t>
  </si>
  <si>
    <t>Average measured household bill</t>
  </si>
  <si>
    <t>Average measured non-household bill</t>
  </si>
  <si>
    <t>Weighted average bill</t>
  </si>
  <si>
    <t>Operating and Maintenance Costs (exclu. overheads)  (2021/22 inflated)</t>
  </si>
  <si>
    <t>Local distribution operating costs - volumetric</t>
  </si>
  <si>
    <t>£ 000s</t>
  </si>
  <si>
    <t>*Local distribution operating costs - fixed</t>
  </si>
  <si>
    <t>Length of local distribution</t>
  </si>
  <si>
    <t>Implied opex per metre (length)</t>
  </si>
  <si>
    <t>£/m</t>
  </si>
  <si>
    <t>Overhead Costs</t>
  </si>
  <si>
    <t>Shared central costs - volumetric</t>
  </si>
  <si>
    <t>*Shared central costs - fixed</t>
  </si>
  <si>
    <t>Property numbers</t>
  </si>
  <si>
    <t>Overhead charge per property</t>
  </si>
  <si>
    <t>Return on investment</t>
  </si>
  <si>
    <t>No. of meters on site</t>
  </si>
  <si>
    <t>Unit cost (£/meter)</t>
  </si>
  <si>
    <t>Cost of capital</t>
  </si>
  <si>
    <t>Return per meter (asset)</t>
  </si>
  <si>
    <t>Total Cost foregone</t>
  </si>
  <si>
    <t>Cost</t>
  </si>
  <si>
    <t>Unit Rate</t>
  </si>
  <si>
    <t>Wholesale Charge</t>
  </si>
  <si>
    <t>Costs foregone - NAV customers</t>
  </si>
  <si>
    <t>NAV charge</t>
  </si>
  <si>
    <t>NAV charge after reduction for leakage of 3.5%</t>
  </si>
  <si>
    <t>Reduction on standard charges</t>
  </si>
  <si>
    <t>%</t>
  </si>
  <si>
    <t>Portsmouth Water NAV tariff - 2025-26 ready reckoner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</si>
</sst>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_-* #,##0.0000_-;\-* #,##0.0000_-;_-* &quot;-&quot;??_-;_-@_-"/>
    <numFmt numFmtId="167" formatCode="0.000"/>
    <numFmt numFmtId="168" formatCode="_-* #,##0.000_-;\-* #,##0.000_-;_-* &quot;-&quot;??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Aptos Narrow"/>
      <family val="2"/>
      <scheme val="minor"/>
    </font>
    <font>
      <u/>
      <sz val="11"/>
      <color theme="10"/>
      <name val="Arial"/>
      <family val="2"/>
    </font>
    <font>
      <i/>
      <sz val="11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5" fillId="0" borderId="0" xfId="3" applyFont="1" applyProtection="1">
      <protection locked="0"/>
    </xf>
    <xf numFmtId="164" fontId="2" fillId="2" borderId="0" xfId="1" applyNumberFormat="1" applyFont="1" applyFill="1" applyProtection="1">
      <protection locked="0"/>
    </xf>
    <xf numFmtId="165" fontId="2" fillId="3" borderId="0" xfId="1" applyNumberFormat="1" applyFont="1" applyFill="1" applyAlignment="1" applyProtection="1">
      <alignment horizontal="right"/>
    </xf>
    <xf numFmtId="43" fontId="2" fillId="4" borderId="0" xfId="1" applyFont="1" applyFill="1" applyProtection="1"/>
    <xf numFmtId="164" fontId="2" fillId="3" borderId="0" xfId="1" applyNumberFormat="1" applyFont="1" applyFill="1" applyProtection="1"/>
    <xf numFmtId="0" fontId="6" fillId="0" borderId="0" xfId="0" applyFont="1" applyProtection="1">
      <protection locked="0"/>
    </xf>
    <xf numFmtId="43" fontId="2" fillId="3" borderId="0" xfId="1" applyFont="1" applyFill="1" applyProtection="1"/>
    <xf numFmtId="166" fontId="2" fillId="3" borderId="0" xfId="1" applyNumberFormat="1" applyFont="1" applyFill="1" applyProtection="1"/>
    <xf numFmtId="37" fontId="2" fillId="0" borderId="0" xfId="0" applyNumberFormat="1" applyFont="1" applyProtection="1">
      <protection locked="0"/>
    </xf>
    <xf numFmtId="164" fontId="2" fillId="3" borderId="0" xfId="1" applyNumberFormat="1" applyFont="1" applyFill="1" applyAlignment="1" applyProtection="1">
      <alignment horizontal="right"/>
    </xf>
    <xf numFmtId="168" fontId="2" fillId="3" borderId="0" xfId="1" applyNumberFormat="1" applyFont="1" applyFill="1" applyAlignment="1" applyProtection="1">
      <alignment horizontal="right"/>
    </xf>
    <xf numFmtId="1" fontId="2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10" fontId="2" fillId="3" borderId="0" xfId="2" applyNumberFormat="1" applyFont="1" applyFill="1" applyBorder="1" applyProtection="1"/>
    <xf numFmtId="43" fontId="2" fillId="3" borderId="0" xfId="1" applyFont="1" applyFill="1" applyBorder="1" applyProtection="1"/>
    <xf numFmtId="164" fontId="2" fillId="4" borderId="1" xfId="1" applyNumberFormat="1" applyFont="1" applyFill="1" applyBorder="1" applyProtection="1"/>
    <xf numFmtId="164" fontId="3" fillId="0" borderId="0" xfId="0" applyNumberFormat="1" applyFont="1" applyProtection="1">
      <protection locked="0"/>
    </xf>
    <xf numFmtId="168" fontId="2" fillId="4" borderId="1" xfId="1" applyNumberFormat="1" applyFont="1" applyFill="1" applyBorder="1" applyProtection="1"/>
    <xf numFmtId="2" fontId="2" fillId="0" borderId="0" xfId="0" applyNumberFormat="1" applyFont="1" applyProtection="1">
      <protection locked="0"/>
    </xf>
    <xf numFmtId="168" fontId="3" fillId="4" borderId="1" xfId="1" applyNumberFormat="1" applyFont="1" applyFill="1" applyBorder="1" applyProtection="1"/>
    <xf numFmtId="9" fontId="2" fillId="0" borderId="0" xfId="2" applyFont="1" applyProtection="1"/>
    <xf numFmtId="43" fontId="2" fillId="0" borderId="0" xfId="1" applyFont="1" applyProtection="1">
      <protection locked="0"/>
    </xf>
    <xf numFmtId="43" fontId="2" fillId="3" borderId="0" xfId="1" applyFont="1" applyFill="1" applyAlignment="1" applyProtection="1">
      <alignment horizontal="right"/>
    </xf>
    <xf numFmtId="0" fontId="2" fillId="0" borderId="0" xfId="0" applyFont="1"/>
    <xf numFmtId="43" fontId="2" fillId="0" borderId="0" xfId="1" applyFont="1" applyProtection="1"/>
    <xf numFmtId="167" fontId="2" fillId="0" borderId="0" xfId="0" applyNumberFormat="1" applyFont="1"/>
    <xf numFmtId="167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9" fontId="2" fillId="0" borderId="0" xfId="0" applyNumberFormat="1" applyFont="1"/>
    <xf numFmtId="1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0" fontId="2" fillId="0" borderId="0" xfId="2" applyNumberFormat="1" applyFont="1" applyFill="1" applyBorder="1" applyProtection="1"/>
    <xf numFmtId="43" fontId="3" fillId="0" borderId="0" xfId="1" applyFont="1" applyProtection="1"/>
    <xf numFmtId="168" fontId="2" fillId="0" borderId="0" xfId="1" applyNumberFormat="1" applyFont="1" applyProtection="1"/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97117</xdr:colOff>
      <xdr:row>0</xdr:row>
      <xdr:rowOff>0</xdr:rowOff>
    </xdr:from>
    <xdr:to>
      <xdr:col>7</xdr:col>
      <xdr:colOff>522942</xdr:colOff>
      <xdr:row>6</xdr:row>
      <xdr:rowOff>26448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645460E-6CE3-4F11-B0DC-80AC10F3D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5892" y="0"/>
          <a:ext cx="1892675" cy="11122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1C3E4-DD2F-4F37-8B3C-34AB8BACE2C9}">
  <dimension ref="A1:M62"/>
  <sheetViews>
    <sheetView showGridLines="0" tabSelected="1" workbookViewId="0">
      <selection activeCell="D8" sqref="D8"/>
    </sheetView>
  </sheetViews>
  <sheetFormatPr defaultColWidth="8.7265625" defaultRowHeight="14" x14ac:dyDescent="0.3"/>
  <cols>
    <col min="1" max="1" width="4.7265625" style="1" customWidth="1"/>
    <col min="2" max="2" width="49.1796875" style="1" bestFit="1" customWidth="1"/>
    <col min="3" max="3" width="8.7265625" style="1"/>
    <col min="4" max="4" width="11.90625" style="1" bestFit="1" customWidth="1"/>
    <col min="5" max="5" width="3.54296875" style="1" customWidth="1"/>
    <col min="6" max="6" width="10.1796875" style="1" customWidth="1"/>
    <col min="7" max="9" width="10.81640625" style="1" customWidth="1"/>
    <col min="10" max="16384" width="8.7265625" style="1"/>
  </cols>
  <sheetData>
    <row r="1" spans="1:13" ht="14.5" x14ac:dyDescent="0.35">
      <c r="B1" s="2" t="s">
        <v>58</v>
      </c>
      <c r="D1" s="3"/>
      <c r="E1" s="4"/>
      <c r="F1" s="4"/>
      <c r="G1" s="4"/>
    </row>
    <row r="2" spans="1:13" x14ac:dyDescent="0.3">
      <c r="B2" s="2"/>
      <c r="D2" s="4"/>
      <c r="E2" s="4"/>
    </row>
    <row r="3" spans="1:13" x14ac:dyDescent="0.3">
      <c r="B3" s="2" t="s">
        <v>0</v>
      </c>
      <c r="D3" s="4"/>
      <c r="E3" s="4"/>
    </row>
    <row r="4" spans="1:13" x14ac:dyDescent="0.3">
      <c r="B4" s="5" t="s">
        <v>1</v>
      </c>
      <c r="D4" s="4"/>
      <c r="E4" s="4"/>
    </row>
    <row r="5" spans="1:13" x14ac:dyDescent="0.3">
      <c r="B5" s="2"/>
      <c r="D5" s="4"/>
      <c r="E5" s="4"/>
      <c r="G5" s="4"/>
    </row>
    <row r="6" spans="1:13" x14ac:dyDescent="0.3">
      <c r="C6" s="2" t="s">
        <v>2</v>
      </c>
    </row>
    <row r="7" spans="1:13" x14ac:dyDescent="0.3">
      <c r="A7" s="1">
        <v>1</v>
      </c>
      <c r="B7" s="1" t="s">
        <v>3</v>
      </c>
      <c r="C7" s="1" t="s">
        <v>4</v>
      </c>
      <c r="D7" s="6">
        <v>300</v>
      </c>
    </row>
    <row r="8" spans="1:13" x14ac:dyDescent="0.3">
      <c r="A8" s="1">
        <v>2</v>
      </c>
      <c r="B8" s="1" t="s">
        <v>5</v>
      </c>
      <c r="C8" s="1" t="s">
        <v>4</v>
      </c>
      <c r="D8" s="6">
        <v>20</v>
      </c>
      <c r="G8" s="6"/>
      <c r="H8" s="1" t="s">
        <v>6</v>
      </c>
    </row>
    <row r="9" spans="1:13" x14ac:dyDescent="0.3">
      <c r="A9" s="1">
        <v>3</v>
      </c>
      <c r="B9" s="1" t="s">
        <v>7</v>
      </c>
      <c r="C9" s="1" t="s">
        <v>8</v>
      </c>
      <c r="D9" s="7">
        <v>7.5</v>
      </c>
      <c r="E9" s="28"/>
      <c r="F9" s="28"/>
      <c r="G9" s="7"/>
      <c r="H9" s="1" t="s">
        <v>9</v>
      </c>
    </row>
    <row r="10" spans="1:13" x14ac:dyDescent="0.3">
      <c r="A10" s="1">
        <v>4</v>
      </c>
      <c r="B10" s="1" t="s">
        <v>10</v>
      </c>
      <c r="C10" s="1" t="s">
        <v>8</v>
      </c>
      <c r="D10" s="7">
        <v>12</v>
      </c>
      <c r="E10" s="28"/>
      <c r="F10" s="28"/>
      <c r="G10" s="8"/>
      <c r="H10" s="1" t="s">
        <v>11</v>
      </c>
    </row>
    <row r="11" spans="1:13" x14ac:dyDescent="0.3">
      <c r="A11" s="1">
        <v>5</v>
      </c>
      <c r="B11" s="1" t="s">
        <v>12</v>
      </c>
      <c r="C11" s="1" t="s">
        <v>13</v>
      </c>
      <c r="D11" s="8">
        <f>+(D7*D9+D8*D10)/1000</f>
        <v>2.4900000000000002</v>
      </c>
      <c r="E11" s="28"/>
      <c r="F11" s="28"/>
      <c r="G11" s="28"/>
    </row>
    <row r="12" spans="1:13" x14ac:dyDescent="0.3">
      <c r="D12" s="28"/>
      <c r="E12" s="28"/>
      <c r="F12" s="28"/>
      <c r="G12" s="28"/>
    </row>
    <row r="13" spans="1:13" x14ac:dyDescent="0.3">
      <c r="A13" s="1">
        <v>6</v>
      </c>
      <c r="B13" s="1" t="s">
        <v>14</v>
      </c>
      <c r="C13" s="1" t="s">
        <v>4</v>
      </c>
      <c r="D13" s="9">
        <v>111926</v>
      </c>
      <c r="E13" s="28"/>
      <c r="F13" s="28"/>
      <c r="G13" s="28"/>
    </row>
    <row r="14" spans="1:13" x14ac:dyDescent="0.3">
      <c r="A14" s="1">
        <v>7</v>
      </c>
      <c r="B14" s="1" t="s">
        <v>15</v>
      </c>
      <c r="C14" s="1" t="s">
        <v>4</v>
      </c>
      <c r="D14" s="9">
        <v>11948</v>
      </c>
      <c r="E14" s="28"/>
      <c r="F14" s="28"/>
      <c r="G14" s="28"/>
    </row>
    <row r="15" spans="1:13" x14ac:dyDescent="0.3">
      <c r="D15" s="28"/>
      <c r="E15" s="28"/>
      <c r="F15" s="28"/>
      <c r="G15" s="28"/>
    </row>
    <row r="16" spans="1:13" ht="14.5" x14ac:dyDescent="0.35">
      <c r="A16" s="1">
        <v>8</v>
      </c>
      <c r="B16" s="1" t="s">
        <v>16</v>
      </c>
      <c r="C16" s="1" t="s">
        <v>17</v>
      </c>
      <c r="D16" s="9">
        <v>105</v>
      </c>
      <c r="E16" s="28"/>
      <c r="F16" s="28"/>
      <c r="G16" s="28"/>
      <c r="M16" s="10"/>
    </row>
    <row r="17" spans="1:13" ht="14.5" x14ac:dyDescent="0.35">
      <c r="A17" s="1">
        <v>9</v>
      </c>
      <c r="B17" s="1" t="s">
        <v>18</v>
      </c>
      <c r="C17" s="1" t="s">
        <v>17</v>
      </c>
      <c r="D17" s="9">
        <v>529</v>
      </c>
      <c r="E17" s="28"/>
      <c r="F17" s="28"/>
      <c r="G17" s="28"/>
      <c r="M17" s="10"/>
    </row>
    <row r="18" spans="1:13" x14ac:dyDescent="0.3">
      <c r="D18" s="28"/>
      <c r="E18" s="28"/>
      <c r="F18" s="28"/>
      <c r="G18" s="28"/>
    </row>
    <row r="19" spans="1:13" x14ac:dyDescent="0.3">
      <c r="A19" s="1">
        <v>10</v>
      </c>
      <c r="B19" s="2" t="s">
        <v>19</v>
      </c>
      <c r="D19" s="28"/>
      <c r="E19" s="28"/>
      <c r="F19" s="28"/>
      <c r="G19" s="28"/>
    </row>
    <row r="20" spans="1:13" x14ac:dyDescent="0.3">
      <c r="A20" s="1">
        <v>11</v>
      </c>
      <c r="B20" s="1" t="s">
        <v>20</v>
      </c>
      <c r="C20" s="1" t="s">
        <v>21</v>
      </c>
      <c r="D20" s="11">
        <v>16.66</v>
      </c>
      <c r="E20" s="28"/>
      <c r="F20" s="28"/>
      <c r="G20" s="28"/>
    </row>
    <row r="21" spans="1:13" x14ac:dyDescent="0.3">
      <c r="A21" s="1">
        <v>12</v>
      </c>
      <c r="B21" s="1" t="s">
        <v>22</v>
      </c>
      <c r="C21" s="1" t="s">
        <v>21</v>
      </c>
      <c r="D21" s="11">
        <v>16.670000000000002</v>
      </c>
      <c r="E21" s="28"/>
      <c r="F21" s="28"/>
      <c r="G21" s="28"/>
    </row>
    <row r="22" spans="1:13" x14ac:dyDescent="0.3">
      <c r="D22" s="29"/>
      <c r="E22" s="28"/>
      <c r="F22" s="28"/>
      <c r="G22" s="28"/>
    </row>
    <row r="23" spans="1:13" x14ac:dyDescent="0.3">
      <c r="A23" s="1">
        <v>13</v>
      </c>
      <c r="B23" s="1" t="s">
        <v>23</v>
      </c>
      <c r="C23" s="1" t="s">
        <v>24</v>
      </c>
      <c r="D23" s="12">
        <v>1.1205000000000001</v>
      </c>
      <c r="E23" s="28"/>
      <c r="F23" s="28"/>
      <c r="G23" s="28"/>
    </row>
    <row r="24" spans="1:13" x14ac:dyDescent="0.3">
      <c r="A24" s="1">
        <v>14</v>
      </c>
      <c r="B24" s="1" t="s">
        <v>25</v>
      </c>
      <c r="C24" s="1" t="s">
        <v>24</v>
      </c>
      <c r="D24" s="12">
        <v>1.1220000000000001</v>
      </c>
      <c r="E24" s="28"/>
      <c r="F24" s="28"/>
      <c r="G24" s="28"/>
    </row>
    <row r="25" spans="1:13" x14ac:dyDescent="0.3">
      <c r="D25" s="30"/>
      <c r="E25" s="28"/>
      <c r="F25" s="28"/>
      <c r="G25" s="28"/>
    </row>
    <row r="26" spans="1:13" x14ac:dyDescent="0.3">
      <c r="D26" s="31" t="s">
        <v>26</v>
      </c>
      <c r="E26" s="32"/>
      <c r="F26" s="32" t="s">
        <v>27</v>
      </c>
      <c r="G26" s="32" t="s">
        <v>28</v>
      </c>
    </row>
    <row r="27" spans="1:13" x14ac:dyDescent="0.3">
      <c r="A27" s="1">
        <v>15</v>
      </c>
      <c r="B27" s="1" t="s">
        <v>29</v>
      </c>
      <c r="C27" s="1" t="s">
        <v>21</v>
      </c>
      <c r="D27" s="8">
        <f>D20+(D23*D16)</f>
        <v>134.3125</v>
      </c>
      <c r="E27" s="29"/>
      <c r="F27" s="8">
        <f>+F60*D16</f>
        <v>76.349488798865906</v>
      </c>
      <c r="G27" s="33">
        <f>(F27-D27)/D27</f>
        <v>-0.4315533639916917</v>
      </c>
    </row>
    <row r="28" spans="1:13" x14ac:dyDescent="0.3">
      <c r="A28" s="1">
        <v>16</v>
      </c>
      <c r="B28" s="1" t="s">
        <v>30</v>
      </c>
      <c r="C28" s="1" t="s">
        <v>21</v>
      </c>
      <c r="D28" s="8">
        <f>D21+(D24*D17)</f>
        <v>610.20799999999997</v>
      </c>
      <c r="E28" s="29"/>
      <c r="F28" s="8">
        <f>+F60*D17</f>
        <v>384.65599594857201</v>
      </c>
      <c r="G28" s="33">
        <f t="shared" ref="G28:G29" si="0">(F28-D28)/D28</f>
        <v>-0.36963134546159337</v>
      </c>
    </row>
    <row r="29" spans="1:13" x14ac:dyDescent="0.3">
      <c r="A29" s="1">
        <v>17</v>
      </c>
      <c r="B29" s="1" t="s">
        <v>31</v>
      </c>
      <c r="C29" s="1" t="s">
        <v>21</v>
      </c>
      <c r="D29" s="8">
        <f>(D27*D7+D28*D8)/(D7+D8)</f>
        <v>164.05596875000001</v>
      </c>
      <c r="E29" s="29"/>
      <c r="F29" s="8">
        <f>(F27*D7+F28*D8)/(D7+D8)</f>
        <v>95.618645495722532</v>
      </c>
      <c r="G29" s="33">
        <f t="shared" si="0"/>
        <v>-0.41715838671232419</v>
      </c>
    </row>
    <row r="30" spans="1:13" x14ac:dyDescent="0.3">
      <c r="D30" s="30"/>
      <c r="E30" s="28"/>
      <c r="F30" s="28"/>
      <c r="G30" s="28"/>
    </row>
    <row r="31" spans="1:13" x14ac:dyDescent="0.3">
      <c r="A31" s="1">
        <v>18</v>
      </c>
      <c r="B31" s="2" t="s">
        <v>32</v>
      </c>
      <c r="D31" s="30"/>
      <c r="E31" s="28"/>
      <c r="F31" s="28"/>
      <c r="G31" s="28"/>
    </row>
    <row r="32" spans="1:13" x14ac:dyDescent="0.3">
      <c r="A32" s="1">
        <v>19</v>
      </c>
      <c r="B32" s="1" t="s">
        <v>33</v>
      </c>
      <c r="C32" s="1" t="s">
        <v>34</v>
      </c>
      <c r="D32" s="9">
        <v>2854</v>
      </c>
      <c r="E32" s="34"/>
      <c r="F32" s="33"/>
      <c r="G32" s="28"/>
    </row>
    <row r="33" spans="1:13" x14ac:dyDescent="0.3">
      <c r="A33" s="1">
        <v>20</v>
      </c>
      <c r="B33" s="1" t="s">
        <v>35</v>
      </c>
      <c r="C33" s="1" t="s">
        <v>34</v>
      </c>
      <c r="D33" s="9">
        <v>1760</v>
      </c>
      <c r="E33" s="34"/>
      <c r="F33" s="25"/>
      <c r="G33" s="28"/>
      <c r="K33" s="13"/>
    </row>
    <row r="34" spans="1:13" ht="14.5" x14ac:dyDescent="0.35">
      <c r="A34" s="1">
        <v>21</v>
      </c>
      <c r="B34" s="1" t="s">
        <v>36</v>
      </c>
      <c r="C34" s="1" t="s">
        <v>13</v>
      </c>
      <c r="D34" s="7">
        <v>3047.7</v>
      </c>
      <c r="E34" s="34"/>
      <c r="F34" s="28"/>
      <c r="G34" s="28"/>
      <c r="M34" s="10"/>
    </row>
    <row r="35" spans="1:13" x14ac:dyDescent="0.3">
      <c r="A35" s="1">
        <v>22</v>
      </c>
      <c r="B35" s="1" t="s">
        <v>37</v>
      </c>
      <c r="C35" s="1" t="s">
        <v>38</v>
      </c>
      <c r="D35" s="15">
        <f>+(D32+D33)/(D34)</f>
        <v>1.5139285362732553</v>
      </c>
      <c r="E35" s="34"/>
      <c r="F35" s="28"/>
      <c r="G35" s="28"/>
    </row>
    <row r="36" spans="1:13" x14ac:dyDescent="0.3">
      <c r="D36" s="28"/>
      <c r="E36" s="28"/>
      <c r="F36" s="28"/>
      <c r="G36" s="28"/>
    </row>
    <row r="37" spans="1:13" x14ac:dyDescent="0.3">
      <c r="A37" s="1">
        <v>23</v>
      </c>
      <c r="B37" s="2" t="s">
        <v>39</v>
      </c>
      <c r="D37" s="35"/>
      <c r="E37" s="34"/>
      <c r="F37" s="28"/>
      <c r="G37" s="28"/>
    </row>
    <row r="38" spans="1:13" x14ac:dyDescent="0.3">
      <c r="A38" s="1">
        <v>24</v>
      </c>
      <c r="B38" s="1" t="s">
        <v>40</v>
      </c>
      <c r="C38" s="1" t="s">
        <v>34</v>
      </c>
      <c r="D38" s="9">
        <v>2602</v>
      </c>
      <c r="E38" s="34"/>
      <c r="F38" s="28"/>
      <c r="G38" s="28"/>
      <c r="H38" s="16"/>
    </row>
    <row r="39" spans="1:13" x14ac:dyDescent="0.3">
      <c r="A39" s="1">
        <v>25</v>
      </c>
      <c r="B39" s="1" t="s">
        <v>41</v>
      </c>
      <c r="C39" s="1" t="s">
        <v>34</v>
      </c>
      <c r="D39" s="9">
        <v>1605</v>
      </c>
      <c r="E39" s="34"/>
      <c r="F39" s="28"/>
      <c r="G39" s="28"/>
      <c r="H39" s="16"/>
    </row>
    <row r="40" spans="1:13" x14ac:dyDescent="0.3">
      <c r="A40" s="1">
        <v>26</v>
      </c>
      <c r="B40" s="1" t="s">
        <v>42</v>
      </c>
      <c r="C40" s="1" t="s">
        <v>4</v>
      </c>
      <c r="D40" s="14">
        <f>+D13+D14</f>
        <v>123874</v>
      </c>
      <c r="E40" s="34"/>
      <c r="F40" s="28"/>
      <c r="G40" s="28"/>
    </row>
    <row r="41" spans="1:13" x14ac:dyDescent="0.3">
      <c r="A41" s="1">
        <v>27</v>
      </c>
      <c r="B41" s="1" t="s">
        <v>43</v>
      </c>
      <c r="C41" s="17" t="s">
        <v>21</v>
      </c>
      <c r="D41" s="27">
        <f>+(D38+D39)*1000/D40</f>
        <v>33.96192905694496</v>
      </c>
      <c r="E41" s="34"/>
      <c r="F41" s="28"/>
      <c r="G41" s="28"/>
    </row>
    <row r="42" spans="1:13" x14ac:dyDescent="0.3">
      <c r="D42" s="28"/>
      <c r="E42" s="28"/>
      <c r="F42" s="28"/>
      <c r="G42" s="28"/>
    </row>
    <row r="43" spans="1:13" x14ac:dyDescent="0.3">
      <c r="A43" s="1">
        <v>28</v>
      </c>
      <c r="B43" s="2" t="s">
        <v>44</v>
      </c>
      <c r="D43" s="28"/>
      <c r="E43" s="28"/>
      <c r="F43" s="28"/>
      <c r="G43" s="28"/>
    </row>
    <row r="44" spans="1:13" x14ac:dyDescent="0.3">
      <c r="A44" s="1">
        <v>29</v>
      </c>
      <c r="B44" s="1" t="s">
        <v>45</v>
      </c>
      <c r="C44" s="1" t="s">
        <v>4</v>
      </c>
      <c r="D44" s="9">
        <f>+D7+D8</f>
        <v>320</v>
      </c>
      <c r="E44" s="28"/>
      <c r="F44" s="28"/>
      <c r="G44" s="28"/>
    </row>
    <row r="45" spans="1:13" x14ac:dyDescent="0.3">
      <c r="A45" s="1">
        <v>30</v>
      </c>
      <c r="B45" s="1" t="s">
        <v>46</v>
      </c>
      <c r="C45" s="1" t="s">
        <v>21</v>
      </c>
      <c r="D45" s="9">
        <v>462.19</v>
      </c>
      <c r="E45" s="34"/>
      <c r="F45" s="28"/>
      <c r="G45" s="28"/>
      <c r="H45" s="16"/>
    </row>
    <row r="46" spans="1:13" x14ac:dyDescent="0.3">
      <c r="A46" s="1">
        <v>31</v>
      </c>
      <c r="B46" s="1" t="s">
        <v>47</v>
      </c>
      <c r="D46" s="18">
        <v>4.1599999999999998E-2</v>
      </c>
      <c r="E46" s="36"/>
      <c r="F46" s="28"/>
      <c r="G46" s="28"/>
    </row>
    <row r="47" spans="1:13" x14ac:dyDescent="0.3">
      <c r="A47" s="1">
        <v>32</v>
      </c>
      <c r="B47" s="1" t="s">
        <v>48</v>
      </c>
      <c r="C47" s="1" t="s">
        <v>21</v>
      </c>
      <c r="D47" s="19">
        <f>+D45*D46</f>
        <v>19.227104000000001</v>
      </c>
      <c r="E47" s="36"/>
      <c r="F47" s="28"/>
      <c r="G47" s="28"/>
    </row>
    <row r="48" spans="1:13" ht="14.5" thickBot="1" x14ac:dyDescent="0.35">
      <c r="D48" s="30"/>
      <c r="E48" s="28"/>
      <c r="F48" s="28"/>
      <c r="G48" s="28"/>
    </row>
    <row r="49" spans="1:10" ht="14.5" thickBot="1" x14ac:dyDescent="0.35">
      <c r="A49" s="1">
        <v>33</v>
      </c>
      <c r="B49" s="2" t="s">
        <v>49</v>
      </c>
      <c r="C49" s="2" t="s">
        <v>21</v>
      </c>
      <c r="D49" s="20">
        <f>+(D11*1000*(D35))+(D44*D45*D46)+(D41*(D7+D8))</f>
        <v>20790.172633542792</v>
      </c>
      <c r="E49" s="28"/>
      <c r="F49" s="28"/>
      <c r="G49" s="37"/>
      <c r="H49" s="26"/>
      <c r="I49" s="26"/>
      <c r="J49" s="21"/>
    </row>
    <row r="50" spans="1:10" x14ac:dyDescent="0.3">
      <c r="D50" s="30"/>
      <c r="E50" s="28"/>
      <c r="F50" s="28"/>
      <c r="G50" s="28"/>
    </row>
    <row r="51" spans="1:10" x14ac:dyDescent="0.3">
      <c r="D51" s="31" t="s">
        <v>50</v>
      </c>
      <c r="E51" s="32"/>
      <c r="F51" s="32" t="s">
        <v>51</v>
      </c>
      <c r="G51" s="28"/>
    </row>
    <row r="52" spans="1:10" x14ac:dyDescent="0.3">
      <c r="D52" s="31" t="s">
        <v>21</v>
      </c>
      <c r="E52" s="32"/>
      <c r="F52" s="32" t="s">
        <v>24</v>
      </c>
      <c r="G52" s="28"/>
    </row>
    <row r="53" spans="1:10" ht="14.5" thickBot="1" x14ac:dyDescent="0.35">
      <c r="D53" s="30"/>
      <c r="E53" s="28"/>
      <c r="F53" s="28"/>
      <c r="G53" s="28"/>
    </row>
    <row r="54" spans="1:10" ht="14.5" thickBot="1" x14ac:dyDescent="0.35">
      <c r="A54" s="1">
        <v>34</v>
      </c>
      <c r="B54" s="2" t="s">
        <v>52</v>
      </c>
      <c r="C54" s="1" t="s">
        <v>21</v>
      </c>
      <c r="D54" s="20">
        <f>+((D7*D20)+(D8*D21)+(D7*D16*D23)+(D8*D17*D24))</f>
        <v>52497.91</v>
      </c>
      <c r="E54" s="28"/>
      <c r="F54" s="22">
        <f>+D54/((D7*D16)+(D8*D17))</f>
        <v>1.2475739068441065</v>
      </c>
      <c r="G54" s="28"/>
    </row>
    <row r="55" spans="1:10" ht="14.5" thickBot="1" x14ac:dyDescent="0.35">
      <c r="D55" s="30"/>
      <c r="E55" s="28"/>
      <c r="F55" s="38"/>
      <c r="G55" s="28"/>
    </row>
    <row r="56" spans="1:10" ht="14.5" thickBot="1" x14ac:dyDescent="0.35">
      <c r="A56" s="1">
        <v>35</v>
      </c>
      <c r="B56" s="2" t="s">
        <v>53</v>
      </c>
      <c r="C56" s="1" t="s">
        <v>21</v>
      </c>
      <c r="D56" s="20">
        <f>+D49</f>
        <v>20790.172633542792</v>
      </c>
      <c r="E56" s="28"/>
      <c r="F56" s="38"/>
      <c r="G56" s="28"/>
    </row>
    <row r="57" spans="1:10" ht="14.5" thickBot="1" x14ac:dyDescent="0.35">
      <c r="D57" s="28"/>
      <c r="E57" s="28"/>
      <c r="F57" s="38"/>
      <c r="G57" s="28"/>
    </row>
    <row r="58" spans="1:10" ht="14.5" thickBot="1" x14ac:dyDescent="0.35">
      <c r="A58" s="1">
        <v>36</v>
      </c>
      <c r="B58" s="2" t="s">
        <v>54</v>
      </c>
      <c r="C58" s="1" t="s">
        <v>21</v>
      </c>
      <c r="D58" s="20">
        <f>+D54-D56</f>
        <v>31707.737366457211</v>
      </c>
      <c r="E58" s="28"/>
      <c r="F58" s="22">
        <f>+D58/((D7*D16)+(D8*D17))</f>
        <v>0.75351086897474362</v>
      </c>
      <c r="G58" s="28"/>
    </row>
    <row r="59" spans="1:10" ht="14.5" thickBot="1" x14ac:dyDescent="0.35">
      <c r="D59" s="28"/>
      <c r="E59" s="28"/>
      <c r="F59" s="38"/>
      <c r="G59" s="28"/>
      <c r="H59" s="23"/>
    </row>
    <row r="60" spans="1:10" ht="14.5" thickBot="1" x14ac:dyDescent="0.35">
      <c r="A60" s="1">
        <v>37</v>
      </c>
      <c r="B60" s="2" t="s">
        <v>55</v>
      </c>
      <c r="C60" s="1" t="s">
        <v>21</v>
      </c>
      <c r="D60" s="28"/>
      <c r="E60" s="28"/>
      <c r="F60" s="24">
        <f>-F58*0.035+F58</f>
        <v>0.72713798856062761</v>
      </c>
      <c r="G60" s="28"/>
    </row>
    <row r="61" spans="1:10" x14ac:dyDescent="0.3">
      <c r="D61" s="28"/>
      <c r="E61" s="28"/>
      <c r="F61" s="28"/>
      <c r="G61" s="28"/>
    </row>
    <row r="62" spans="1:10" x14ac:dyDescent="0.3">
      <c r="A62" s="1">
        <v>38</v>
      </c>
      <c r="B62" s="2" t="s">
        <v>56</v>
      </c>
      <c r="C62" s="1" t="s">
        <v>57</v>
      </c>
      <c r="D62" s="25"/>
      <c r="E62" s="28"/>
      <c r="F62" s="25">
        <f>+(F60/F54)-1</f>
        <v>-0.41715838671232419</v>
      </c>
      <c r="G62" s="28"/>
    </row>
  </sheetData>
  <sheetProtection algorithmName="SHA-512" hashValue="Kr4UaidCDOAF4OgH35tOiiijl3V/9fTAdRvAIpnsJ7LhuSa3hiLF3GVrNUo659O8SAmwLO/+FeIz7tPyAbYRIQ==" saltValue="OX5Qc++gh3AxuxLPm8EUkA==" spinCount="100000" sheet="1" objects="1" scenarios="1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e47e1dc-7ff7-4cf6-abd6-1ddd705f25e8" xsi:nil="true"/>
    <lcf76f155ced4ddcb4097134ff3c332f xmlns="fe61ab33-b534-4014-81b5-33dc6e53d97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3316BFB36F6C47BC6ED19F4BC1A01F" ma:contentTypeVersion="14" ma:contentTypeDescription="Create a new document." ma:contentTypeScope="" ma:versionID="a2b1f03b6766179af654961a5921262e">
  <xsd:schema xmlns:xsd="http://www.w3.org/2001/XMLSchema" xmlns:xs="http://www.w3.org/2001/XMLSchema" xmlns:p="http://schemas.microsoft.com/office/2006/metadata/properties" xmlns:ns2="fe61ab33-b534-4014-81b5-33dc6e53d97d" xmlns:ns3="de47e1dc-7ff7-4cf6-abd6-1ddd705f25e8" targetNamespace="http://schemas.microsoft.com/office/2006/metadata/properties" ma:root="true" ma:fieldsID="98fc57990c898afef5833407ea1e6729" ns2:_="" ns3:_="">
    <xsd:import namespace="fe61ab33-b534-4014-81b5-33dc6e53d97d"/>
    <xsd:import namespace="de47e1dc-7ff7-4cf6-abd6-1ddd705f25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61ab33-b534-4014-81b5-33dc6e53d9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5f06a20d-0fc0-4e02-9cb2-874627127b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47e1dc-7ff7-4cf6-abd6-1ddd705f25e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60565fc-410f-44e7-b524-f2f6fd80ed18}" ma:internalName="TaxCatchAll" ma:showField="CatchAllData" ma:web="de47e1dc-7ff7-4cf6-abd6-1ddd705f25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63DDC7-03AA-48C3-907C-6228A0B3FFEC}">
  <ds:schemaRefs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fe61ab33-b534-4014-81b5-33dc6e53d97d"/>
    <ds:schemaRef ds:uri="http://purl.org/dc/elements/1.1/"/>
    <ds:schemaRef ds:uri="de47e1dc-7ff7-4cf6-abd6-1ddd705f25e8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E4A3ED5-D536-4A29-A331-AD1029D7225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B26787-2C4F-4795-8778-ABBAE651CD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61ab33-b534-4014-81b5-33dc6e53d97d"/>
    <ds:schemaRef ds:uri="de47e1dc-7ff7-4cf6-abd6-1ddd705f25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Wightman</dc:creator>
  <cp:lastModifiedBy>Kevin Wightman</cp:lastModifiedBy>
  <dcterms:created xsi:type="dcterms:W3CDTF">2025-02-24T18:08:44Z</dcterms:created>
  <dcterms:modified xsi:type="dcterms:W3CDTF">2025-02-26T10:17:54Z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0x010100BD3316BFB36F6C47BC6ED19F4BC1A01F</vt:lpwstr>
  </property>
  <property fmtid="{D5CDD505-2E9C-101B-9397-08002B2CF9AE}" pid="3" name="MediaServiceImageTags">
    <vt:lpwstr/>
  </property>
</Properties>
</file>