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pwl.sharepoint.com/sites/RegulationDepartment/Shared Documents/Charging/NAV charges/2024-25/Docs for publication/"/>
    </mc:Choice>
  </mc:AlternateContent>
  <xr:revisionPtr revIDLastSave="32" documentId="8_{D8939FF3-52B3-4AF9-B968-4CA9EC58EA11}" xr6:coauthVersionLast="47" xr6:coauthVersionMax="47" xr10:uidLastSave="{98C6030B-1971-422E-9CBA-99851B09B5A9}"/>
  <bookViews>
    <workbookView xWindow="-110" yWindow="-110" windowWidth="19420" windowHeight="10420" xr2:uid="{5AF6BB8D-C43D-4971-8B84-E1D6CEDFE86D}"/>
  </bookViews>
  <sheets>
    <sheet name="NAV charge ready reckone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1" l="1"/>
  <c r="F54" i="1" s="1"/>
  <c r="D47" i="1"/>
  <c r="D44" i="1"/>
  <c r="D40" i="1"/>
  <c r="D41" i="1"/>
  <c r="D35" i="1"/>
  <c r="D28" i="1"/>
  <c r="D27" i="1"/>
  <c r="D29" i="1" s="1"/>
  <c r="D11" i="1"/>
  <c r="D49" i="1" l="1"/>
  <c r="D56" i="1"/>
  <c r="D58" i="1" s="1"/>
  <c r="F58" i="1" s="1"/>
  <c r="F60" i="1" s="1"/>
  <c r="F62" i="1" l="1"/>
  <c r="F27" i="1"/>
  <c r="F28" i="1"/>
  <c r="G28" i="1" s="1"/>
  <c r="G27" i="1" l="1"/>
  <c r="F29" i="1"/>
  <c r="G29" i="1" s="1"/>
</calcChain>
</file>

<file path=xl/sharedStrings.xml><?xml version="1.0" encoding="utf-8"?>
<sst xmlns="http://schemas.openxmlformats.org/spreadsheetml/2006/main" count="85" uniqueCount="59">
  <si>
    <t>Portsmouth Water NAV tariff - 2024-25 ready reckoner</t>
  </si>
  <si>
    <t xml:space="preserve">Contact: </t>
  </si>
  <si>
    <t>Regulation@portsmouthwater.co.uk</t>
  </si>
  <si>
    <t>Units</t>
  </si>
  <si>
    <t>Number of households</t>
  </si>
  <si>
    <t>nr</t>
  </si>
  <si>
    <t>Number of non-households</t>
  </si>
  <si>
    <t>Input cell</t>
  </si>
  <si>
    <t>Assumed density rate - households</t>
  </si>
  <si>
    <t>km</t>
  </si>
  <si>
    <t xml:space="preserve">Fixed values </t>
  </si>
  <si>
    <t>Assumed density rate - non-households</t>
  </si>
  <si>
    <t>Calculated cell</t>
  </si>
  <si>
    <t>Length of mains</t>
  </si>
  <si>
    <t>m/nr</t>
  </si>
  <si>
    <t>Number of PWL measured households</t>
  </si>
  <si>
    <t>Number of PWL measured non-households</t>
  </si>
  <si>
    <t>Annual water demand per household</t>
  </si>
  <si>
    <t>m3</t>
  </si>
  <si>
    <t>Annual water demand per non-household</t>
  </si>
  <si>
    <t>Wholesale Tariffs (from 1 July 2023)</t>
  </si>
  <si>
    <t>Household measured standing charge</t>
  </si>
  <si>
    <t>£</t>
  </si>
  <si>
    <t>Non-household measured standing charge</t>
  </si>
  <si>
    <t>Household volume charge</t>
  </si>
  <si>
    <t>£/m3</t>
  </si>
  <si>
    <t>Non-household volume charge (standard)</t>
  </si>
  <si>
    <t>SOC</t>
  </si>
  <si>
    <t>NAV</t>
  </si>
  <si>
    <t>Discount</t>
  </si>
  <si>
    <t>Average measured household bill</t>
  </si>
  <si>
    <t>Average measured non-household bill</t>
  </si>
  <si>
    <t>Weighted average bill</t>
  </si>
  <si>
    <t>Operating and Maintenance Costs (exclu. overheads)  (2021/22 inflated)</t>
  </si>
  <si>
    <t>Local distribution operating costs - volumetric</t>
  </si>
  <si>
    <t>£ 000s</t>
  </si>
  <si>
    <t>*Local distribution operating costs - fixed</t>
  </si>
  <si>
    <t>Length of local distribution</t>
  </si>
  <si>
    <t>Implied opex per metre (length)</t>
  </si>
  <si>
    <t>£/m</t>
  </si>
  <si>
    <t>Overhead Costs</t>
  </si>
  <si>
    <t>Shared central costs - volumetric</t>
  </si>
  <si>
    <t>*Shared central costs - fixed</t>
  </si>
  <si>
    <t>Property numbers</t>
  </si>
  <si>
    <t>Overhead charge per property</t>
  </si>
  <si>
    <t>Return on investment</t>
  </si>
  <si>
    <t>No. of meters on site</t>
  </si>
  <si>
    <t>Unit cost (£/meter)</t>
  </si>
  <si>
    <t>Cost of capital</t>
  </si>
  <si>
    <t>Return per meter (asset)</t>
  </si>
  <si>
    <t>Total Cost foregone</t>
  </si>
  <si>
    <t>Cost</t>
  </si>
  <si>
    <t>Unit Rate</t>
  </si>
  <si>
    <t>Wholesale Charge</t>
  </si>
  <si>
    <t>Costs foregone - NAV customers</t>
  </si>
  <si>
    <t>NAV charge</t>
  </si>
  <si>
    <t>NAV charge after reduction for leakage of 3.5%</t>
  </si>
  <si>
    <t>Reduction on standard charges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</si>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</sst>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000_-;\-* #,##0.0000_-;_-* &quot;-&quot;??_-;_-@_-"/>
    <numFmt numFmtId="167" formatCode="0.000"/>
    <numFmt numFmtId="168" formatCode="_-* #,##0.000_-;\-* #,##0.000_-;_-* &quot;-&quot;??_-;_-@_-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ptos Narrow"/>
      <family val="2"/>
      <scheme val="minor"/>
    </font>
    <font>
      <u/>
      <sz val="11"/>
      <color theme="10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164" fontId="2" fillId="2" borderId="0" xfId="1" applyNumberFormat="1" applyFont="1" applyFill="1" applyProtection="1"/>
    <xf numFmtId="164" fontId="2" fillId="2" borderId="0" xfId="1" applyNumberFormat="1" applyFont="1" applyFill="1" applyAlignment="1" applyProtection="1">
      <alignment horizontal="right"/>
    </xf>
    <xf numFmtId="168" fontId="2" fillId="2" borderId="0" xfId="1" applyNumberFormat="1" applyFont="1" applyFill="1" applyAlignment="1" applyProtection="1">
      <alignment horizontal="right"/>
    </xf>
    <xf numFmtId="43" fontId="2" fillId="2" borderId="0" xfId="1" applyFont="1" applyFill="1" applyAlignment="1" applyProtection="1">
      <alignment horizontal="right"/>
    </xf>
    <xf numFmtId="10" fontId="2" fillId="2" borderId="0" xfId="2" applyNumberFormat="1" applyFont="1" applyFill="1" applyBorder="1" applyProtection="1"/>
    <xf numFmtId="43" fontId="2" fillId="2" borderId="0" xfId="1" applyFont="1" applyFill="1" applyBorder="1" applyProtection="1"/>
    <xf numFmtId="165" fontId="2" fillId="2" borderId="0" xfId="1" applyNumberFormat="1" applyFont="1" applyFill="1" applyAlignment="1" applyProtection="1">
      <alignment horizontal="right"/>
    </xf>
    <xf numFmtId="43" fontId="2" fillId="2" borderId="0" xfId="1" applyFont="1" applyFill="1" applyProtection="1"/>
    <xf numFmtId="166" fontId="2" fillId="2" borderId="0" xfId="1" applyNumberFormat="1" applyFont="1" applyFill="1" applyProtection="1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3" applyFont="1" applyProtection="1">
      <protection locked="0"/>
    </xf>
    <xf numFmtId="164" fontId="2" fillId="4" borderId="0" xfId="1" applyNumberFormat="1" applyFont="1" applyFill="1" applyProtection="1">
      <protection locked="0"/>
    </xf>
    <xf numFmtId="165" fontId="2" fillId="2" borderId="0" xfId="1" applyNumberFormat="1" applyFont="1" applyFill="1" applyAlignment="1" applyProtection="1">
      <alignment horizontal="right"/>
      <protection locked="0"/>
    </xf>
    <xf numFmtId="43" fontId="2" fillId="3" borderId="0" xfId="1" applyFont="1" applyFill="1" applyProtection="1">
      <protection locked="0"/>
    </xf>
    <xf numFmtId="0" fontId="6" fillId="0" borderId="0" xfId="0" applyFont="1" applyProtection="1">
      <protection locked="0"/>
    </xf>
    <xf numFmtId="43" fontId="2" fillId="0" borderId="0" xfId="1" applyFont="1" applyProtection="1">
      <protection locked="0"/>
    </xf>
    <xf numFmtId="167" fontId="2" fillId="0" borderId="0" xfId="0" applyNumberFormat="1" applyFont="1" applyProtection="1">
      <protection locked="0"/>
    </xf>
    <xf numFmtId="167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9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9" fontId="2" fillId="0" borderId="0" xfId="2" applyFont="1" applyProtection="1">
      <protection locked="0"/>
    </xf>
    <xf numFmtId="37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" fontId="2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10" fontId="2" fillId="0" borderId="0" xfId="2" applyNumberFormat="1" applyFont="1" applyFill="1" applyBorder="1" applyProtection="1">
      <protection locked="0"/>
    </xf>
    <xf numFmtId="164" fontId="2" fillId="0" borderId="0" xfId="1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68" fontId="2" fillId="0" borderId="0" xfId="1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43" fontId="2" fillId="3" borderId="0" xfId="1" applyFont="1" applyFill="1" applyProtection="1"/>
    <xf numFmtId="164" fontId="2" fillId="3" borderId="1" xfId="1" applyNumberFormat="1" applyFont="1" applyFill="1" applyBorder="1" applyProtection="1"/>
    <xf numFmtId="168" fontId="2" fillId="3" borderId="1" xfId="1" applyNumberFormat="1" applyFont="1" applyFill="1" applyBorder="1" applyProtection="1"/>
    <xf numFmtId="168" fontId="3" fillId="3" borderId="1" xfId="1" applyNumberFormat="1" applyFont="1" applyFill="1" applyBorder="1" applyProtection="1"/>
    <xf numFmtId="9" fontId="2" fillId="0" borderId="0" xfId="2" applyFont="1" applyProtection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97117</xdr:colOff>
      <xdr:row>0</xdr:row>
      <xdr:rowOff>0</xdr:rowOff>
    </xdr:from>
    <xdr:to>
      <xdr:col>7</xdr:col>
      <xdr:colOff>522942</xdr:colOff>
      <xdr:row>6</xdr:row>
      <xdr:rowOff>26448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5A99A1-9176-B123-2179-BC04BF2BC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8235" y="0"/>
          <a:ext cx="1890060" cy="1109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94FA2-831C-423C-81E3-6A613CB033DB}">
  <dimension ref="A1:M62"/>
  <sheetViews>
    <sheetView showGridLines="0" tabSelected="1" zoomScale="85" zoomScaleNormal="85" workbookViewId="0">
      <selection activeCell="D7" sqref="D7"/>
    </sheetView>
  </sheetViews>
  <sheetFormatPr defaultColWidth="8.7265625" defaultRowHeight="14" x14ac:dyDescent="0.3"/>
  <cols>
    <col min="1" max="1" width="4.7265625" style="10" customWidth="1"/>
    <col min="2" max="2" width="49.1796875" style="10" bestFit="1" customWidth="1"/>
    <col min="3" max="3" width="8.7265625" style="10"/>
    <col min="4" max="4" width="11.54296875" style="10" bestFit="1" customWidth="1"/>
    <col min="5" max="5" width="3.54296875" style="10" customWidth="1"/>
    <col min="6" max="6" width="10.1796875" style="10" customWidth="1"/>
    <col min="7" max="9" width="10.81640625" style="10" customWidth="1"/>
    <col min="10" max="16384" width="8.7265625" style="10"/>
  </cols>
  <sheetData>
    <row r="1" spans="1:13" ht="14.5" x14ac:dyDescent="0.35">
      <c r="B1" s="11" t="s">
        <v>0</v>
      </c>
      <c r="D1" s="12"/>
      <c r="E1" s="13"/>
      <c r="F1" s="13"/>
      <c r="G1" s="13"/>
    </row>
    <row r="2" spans="1:13" x14ac:dyDescent="0.3">
      <c r="B2" s="11"/>
      <c r="D2" s="13"/>
      <c r="E2" s="13"/>
    </row>
    <row r="3" spans="1:13" x14ac:dyDescent="0.3">
      <c r="B3" s="11" t="s">
        <v>1</v>
      </c>
      <c r="D3" s="13"/>
      <c r="E3" s="13"/>
    </row>
    <row r="4" spans="1:13" x14ac:dyDescent="0.3">
      <c r="B4" s="14" t="s">
        <v>2</v>
      </c>
      <c r="D4" s="13"/>
      <c r="E4" s="13"/>
    </row>
    <row r="5" spans="1:13" x14ac:dyDescent="0.3">
      <c r="B5" s="11"/>
      <c r="D5" s="13"/>
      <c r="E5" s="13"/>
      <c r="G5" s="13"/>
    </row>
    <row r="6" spans="1:13" x14ac:dyDescent="0.3">
      <c r="C6" s="11" t="s">
        <v>3</v>
      </c>
    </row>
    <row r="7" spans="1:13" x14ac:dyDescent="0.3">
      <c r="A7" s="10">
        <v>1</v>
      </c>
      <c r="B7" s="10" t="s">
        <v>4</v>
      </c>
      <c r="C7" s="10" t="s">
        <v>5</v>
      </c>
      <c r="D7" s="15">
        <v>300</v>
      </c>
    </row>
    <row r="8" spans="1:13" x14ac:dyDescent="0.3">
      <c r="A8" s="10">
        <v>2</v>
      </c>
      <c r="B8" s="10" t="s">
        <v>6</v>
      </c>
      <c r="C8" s="10" t="s">
        <v>5</v>
      </c>
      <c r="D8" s="15">
        <v>20</v>
      </c>
      <c r="G8" s="15"/>
      <c r="H8" s="10" t="s">
        <v>7</v>
      </c>
    </row>
    <row r="9" spans="1:13" x14ac:dyDescent="0.3">
      <c r="A9" s="10">
        <v>3</v>
      </c>
      <c r="B9" s="10" t="s">
        <v>8</v>
      </c>
      <c r="C9" s="10" t="s">
        <v>9</v>
      </c>
      <c r="D9" s="7">
        <v>7.5</v>
      </c>
      <c r="G9" s="16"/>
      <c r="H9" s="10" t="s">
        <v>10</v>
      </c>
    </row>
    <row r="10" spans="1:13" x14ac:dyDescent="0.3">
      <c r="A10" s="10">
        <v>4</v>
      </c>
      <c r="B10" s="10" t="s">
        <v>11</v>
      </c>
      <c r="C10" s="10" t="s">
        <v>9</v>
      </c>
      <c r="D10" s="7">
        <v>12</v>
      </c>
      <c r="G10" s="17"/>
      <c r="H10" s="10" t="s">
        <v>12</v>
      </c>
    </row>
    <row r="11" spans="1:13" x14ac:dyDescent="0.3">
      <c r="A11" s="10">
        <v>5</v>
      </c>
      <c r="B11" s="10" t="s">
        <v>13</v>
      </c>
      <c r="C11" s="10" t="s">
        <v>14</v>
      </c>
      <c r="D11" s="35">
        <f>+(D7*D9+D8*D10)/1000</f>
        <v>2.4900000000000002</v>
      </c>
    </row>
    <row r="13" spans="1:13" x14ac:dyDescent="0.3">
      <c r="A13" s="10">
        <v>6</v>
      </c>
      <c r="B13" s="10" t="s">
        <v>15</v>
      </c>
      <c r="C13" s="10" t="s">
        <v>5</v>
      </c>
      <c r="D13" s="1">
        <v>106698</v>
      </c>
    </row>
    <row r="14" spans="1:13" x14ac:dyDescent="0.3">
      <c r="A14" s="10">
        <v>7</v>
      </c>
      <c r="B14" s="10" t="s">
        <v>16</v>
      </c>
      <c r="C14" s="10" t="s">
        <v>5</v>
      </c>
      <c r="D14" s="1">
        <v>11946</v>
      </c>
    </row>
    <row r="16" spans="1:13" ht="14.5" x14ac:dyDescent="0.35">
      <c r="A16" s="10">
        <v>8</v>
      </c>
      <c r="B16" s="10" t="s">
        <v>17</v>
      </c>
      <c r="C16" s="10" t="s">
        <v>18</v>
      </c>
      <c r="D16" s="1">
        <v>104</v>
      </c>
      <c r="M16" s="18"/>
    </row>
    <row r="17" spans="1:13" ht="14.5" x14ac:dyDescent="0.35">
      <c r="A17" s="10">
        <v>9</v>
      </c>
      <c r="B17" s="10" t="s">
        <v>19</v>
      </c>
      <c r="C17" s="10" t="s">
        <v>18</v>
      </c>
      <c r="D17" s="1">
        <v>494</v>
      </c>
      <c r="M17" s="18"/>
    </row>
    <row r="19" spans="1:13" x14ac:dyDescent="0.3">
      <c r="A19" s="10">
        <v>10</v>
      </c>
      <c r="B19" s="11" t="s">
        <v>20</v>
      </c>
    </row>
    <row r="20" spans="1:13" x14ac:dyDescent="0.3">
      <c r="A20" s="10">
        <v>11</v>
      </c>
      <c r="B20" s="10" t="s">
        <v>21</v>
      </c>
      <c r="C20" s="10" t="s">
        <v>22</v>
      </c>
      <c r="D20" s="8">
        <v>16.53</v>
      </c>
    </row>
    <row r="21" spans="1:13" x14ac:dyDescent="0.3">
      <c r="A21" s="10">
        <v>12</v>
      </c>
      <c r="B21" s="10" t="s">
        <v>23</v>
      </c>
      <c r="C21" s="10" t="s">
        <v>22</v>
      </c>
      <c r="D21" s="8">
        <v>12.86</v>
      </c>
    </row>
    <row r="22" spans="1:13" x14ac:dyDescent="0.3">
      <c r="D22" s="19"/>
    </row>
    <row r="23" spans="1:13" x14ac:dyDescent="0.3">
      <c r="A23" s="10">
        <v>13</v>
      </c>
      <c r="B23" s="10" t="s">
        <v>24</v>
      </c>
      <c r="C23" s="10" t="s">
        <v>25</v>
      </c>
      <c r="D23" s="9">
        <v>0.87019999999999997</v>
      </c>
    </row>
    <row r="24" spans="1:13" x14ac:dyDescent="0.3">
      <c r="A24" s="10">
        <v>14</v>
      </c>
      <c r="B24" s="10" t="s">
        <v>26</v>
      </c>
      <c r="C24" s="10" t="s">
        <v>25</v>
      </c>
      <c r="D24" s="9">
        <v>0.87129999999999996</v>
      </c>
    </row>
    <row r="25" spans="1:13" x14ac:dyDescent="0.3">
      <c r="D25" s="20"/>
    </row>
    <row r="26" spans="1:13" x14ac:dyDescent="0.3">
      <c r="D26" s="21" t="s">
        <v>27</v>
      </c>
      <c r="E26" s="22"/>
      <c r="F26" s="22" t="s">
        <v>28</v>
      </c>
      <c r="G26" s="22" t="s">
        <v>29</v>
      </c>
    </row>
    <row r="27" spans="1:13" x14ac:dyDescent="0.3">
      <c r="A27" s="10">
        <v>15</v>
      </c>
      <c r="B27" s="10" t="s">
        <v>30</v>
      </c>
      <c r="C27" s="10" t="s">
        <v>22</v>
      </c>
      <c r="D27" s="35">
        <f>D20+(D23*D16)</f>
        <v>107.0308</v>
      </c>
      <c r="E27" s="19"/>
      <c r="F27" s="35">
        <f>+F60*D16</f>
        <v>57.129489049448182</v>
      </c>
      <c r="G27" s="23">
        <f>(F27-D27)/D27</f>
        <v>-0.46623318662059721</v>
      </c>
    </row>
    <row r="28" spans="1:13" x14ac:dyDescent="0.3">
      <c r="A28" s="10">
        <v>16</v>
      </c>
      <c r="B28" s="10" t="s">
        <v>31</v>
      </c>
      <c r="C28" s="10" t="s">
        <v>22</v>
      </c>
      <c r="D28" s="35">
        <f>D21+(D24*D17)</f>
        <v>443.28219999999999</v>
      </c>
      <c r="E28" s="19"/>
      <c r="F28" s="35">
        <f>+F60*D17</f>
        <v>271.36507298487885</v>
      </c>
      <c r="G28" s="23">
        <f t="shared" ref="G28:G29" si="0">(F28-D28)/D28</f>
        <v>-0.38782772467543508</v>
      </c>
    </row>
    <row r="29" spans="1:13" x14ac:dyDescent="0.3">
      <c r="A29" s="10">
        <v>17</v>
      </c>
      <c r="B29" s="10" t="s">
        <v>32</v>
      </c>
      <c r="C29" s="10" t="s">
        <v>22</v>
      </c>
      <c r="D29" s="35">
        <f>(D27*D7+D28*D8)/(D7+D8)</f>
        <v>128.04651250000001</v>
      </c>
      <c r="E29" s="19"/>
      <c r="F29" s="35">
        <f>(F27*D7+F28*D8)/(D7+D8)</f>
        <v>70.519213045412599</v>
      </c>
      <c r="G29" s="23">
        <f t="shared" si="0"/>
        <v>-0.44926877219391198</v>
      </c>
    </row>
    <row r="30" spans="1:13" x14ac:dyDescent="0.3">
      <c r="D30" s="20"/>
    </row>
    <row r="31" spans="1:13" x14ac:dyDescent="0.3">
      <c r="A31" s="10">
        <v>18</v>
      </c>
      <c r="B31" s="11" t="s">
        <v>33</v>
      </c>
      <c r="D31" s="20"/>
    </row>
    <row r="32" spans="1:13" x14ac:dyDescent="0.3">
      <c r="A32" s="10">
        <v>19</v>
      </c>
      <c r="B32" s="10" t="s">
        <v>34</v>
      </c>
      <c r="C32" s="10" t="s">
        <v>35</v>
      </c>
      <c r="D32" s="1">
        <v>2756.4583333333335</v>
      </c>
      <c r="E32" s="24"/>
      <c r="F32" s="23"/>
    </row>
    <row r="33" spans="1:13" x14ac:dyDescent="0.3">
      <c r="A33" s="10">
        <v>20</v>
      </c>
      <c r="B33" s="10" t="s">
        <v>36</v>
      </c>
      <c r="C33" s="10" t="s">
        <v>35</v>
      </c>
      <c r="D33" s="1">
        <v>1699.7916666666667</v>
      </c>
      <c r="E33" s="24"/>
      <c r="F33" s="25"/>
      <c r="K33" s="26"/>
    </row>
    <row r="34" spans="1:13" ht="14.5" x14ac:dyDescent="0.35">
      <c r="A34" s="10">
        <v>21</v>
      </c>
      <c r="B34" s="10" t="s">
        <v>37</v>
      </c>
      <c r="C34" s="10" t="s">
        <v>9</v>
      </c>
      <c r="D34" s="2">
        <v>3027</v>
      </c>
      <c r="E34" s="24"/>
      <c r="M34" s="18"/>
    </row>
    <row r="35" spans="1:13" x14ac:dyDescent="0.3">
      <c r="A35" s="10">
        <v>22</v>
      </c>
      <c r="B35" s="10" t="s">
        <v>38</v>
      </c>
      <c r="C35" s="10" t="s">
        <v>39</v>
      </c>
      <c r="D35" s="3">
        <f>+(D32+D33)/(D34)</f>
        <v>1.4721671622068053</v>
      </c>
      <c r="E35" s="24"/>
    </row>
    <row r="37" spans="1:13" x14ac:dyDescent="0.3">
      <c r="A37" s="10">
        <v>23</v>
      </c>
      <c r="B37" s="11" t="s">
        <v>40</v>
      </c>
      <c r="D37" s="27"/>
      <c r="E37" s="24"/>
    </row>
    <row r="38" spans="1:13" x14ac:dyDescent="0.3">
      <c r="A38" s="10">
        <v>24</v>
      </c>
      <c r="B38" s="10" t="s">
        <v>41</v>
      </c>
      <c r="C38" s="10" t="s">
        <v>35</v>
      </c>
      <c r="D38" s="1">
        <v>2513.5446372915699</v>
      </c>
      <c r="E38" s="24"/>
      <c r="H38" s="28"/>
    </row>
    <row r="39" spans="1:13" x14ac:dyDescent="0.3">
      <c r="A39" s="10">
        <v>25</v>
      </c>
      <c r="B39" s="10" t="s">
        <v>42</v>
      </c>
      <c r="C39" s="10" t="s">
        <v>35</v>
      </c>
      <c r="D39" s="1">
        <v>1549.9970293750976</v>
      </c>
      <c r="E39" s="24"/>
      <c r="H39" s="28"/>
    </row>
    <row r="40" spans="1:13" x14ac:dyDescent="0.3">
      <c r="A40" s="10">
        <v>26</v>
      </c>
      <c r="B40" s="10" t="s">
        <v>43</v>
      </c>
      <c r="C40" s="10" t="s">
        <v>5</v>
      </c>
      <c r="D40" s="2">
        <f>+D13+D14</f>
        <v>118644</v>
      </c>
      <c r="E40" s="24"/>
    </row>
    <row r="41" spans="1:13" x14ac:dyDescent="0.3">
      <c r="A41" s="10">
        <v>27</v>
      </c>
      <c r="B41" s="10" t="s">
        <v>44</v>
      </c>
      <c r="C41" s="29" t="s">
        <v>22</v>
      </c>
      <c r="D41" s="4">
        <f>+(D38+D39)*1000/D40</f>
        <v>34.24987076183092</v>
      </c>
      <c r="E41" s="24"/>
    </row>
    <row r="43" spans="1:13" x14ac:dyDescent="0.3">
      <c r="A43" s="10">
        <v>28</v>
      </c>
      <c r="B43" s="11" t="s">
        <v>45</v>
      </c>
    </row>
    <row r="44" spans="1:13" x14ac:dyDescent="0.3">
      <c r="A44" s="10">
        <v>29</v>
      </c>
      <c r="B44" s="10" t="s">
        <v>46</v>
      </c>
      <c r="C44" s="10" t="s">
        <v>5</v>
      </c>
      <c r="D44" s="1">
        <f>+D7+D8</f>
        <v>320</v>
      </c>
    </row>
    <row r="45" spans="1:13" x14ac:dyDescent="0.3">
      <c r="A45" s="10">
        <v>30</v>
      </c>
      <c r="B45" s="10" t="s">
        <v>47</v>
      </c>
      <c r="C45" s="10" t="s">
        <v>22</v>
      </c>
      <c r="D45" s="1">
        <v>297.89184234647115</v>
      </c>
      <c r="E45" s="24"/>
      <c r="H45" s="28"/>
    </row>
    <row r="46" spans="1:13" x14ac:dyDescent="0.3">
      <c r="A46" s="10">
        <v>31</v>
      </c>
      <c r="B46" s="10" t="s">
        <v>48</v>
      </c>
      <c r="D46" s="5">
        <v>3.1099999999999999E-2</v>
      </c>
      <c r="E46" s="30"/>
    </row>
    <row r="47" spans="1:13" x14ac:dyDescent="0.3">
      <c r="A47" s="10">
        <v>32</v>
      </c>
      <c r="B47" s="10" t="s">
        <v>49</v>
      </c>
      <c r="C47" s="10" t="s">
        <v>22</v>
      </c>
      <c r="D47" s="6">
        <f>+D45*D46</f>
        <v>9.2644362969752532</v>
      </c>
      <c r="E47" s="30"/>
    </row>
    <row r="48" spans="1:13" ht="14.5" thickBot="1" x14ac:dyDescent="0.35">
      <c r="D48" s="20"/>
    </row>
    <row r="49" spans="1:10" ht="14.5" thickBot="1" x14ac:dyDescent="0.35">
      <c r="A49" s="10">
        <v>33</v>
      </c>
      <c r="B49" s="11" t="s">
        <v>50</v>
      </c>
      <c r="C49" s="11" t="s">
        <v>22</v>
      </c>
      <c r="D49" s="36">
        <f>+(D11*1000*(D35))+(D44*D45*D46)+(D41*(D7+D8))</f>
        <v>17590.274492712921</v>
      </c>
      <c r="G49" s="31"/>
      <c r="H49" s="31"/>
      <c r="I49" s="31"/>
      <c r="J49" s="32"/>
    </row>
    <row r="50" spans="1:10" x14ac:dyDescent="0.3">
      <c r="D50" s="20"/>
    </row>
    <row r="51" spans="1:10" x14ac:dyDescent="0.3">
      <c r="D51" s="21" t="s">
        <v>51</v>
      </c>
      <c r="E51" s="22"/>
      <c r="F51" s="22" t="s">
        <v>52</v>
      </c>
    </row>
    <row r="52" spans="1:10" x14ac:dyDescent="0.3">
      <c r="D52" s="21" t="s">
        <v>22</v>
      </c>
      <c r="E52" s="22"/>
      <c r="F52" s="22" t="s">
        <v>25</v>
      </c>
    </row>
    <row r="53" spans="1:10" ht="14.5" thickBot="1" x14ac:dyDescent="0.35">
      <c r="D53" s="20"/>
    </row>
    <row r="54" spans="1:10" ht="14.5" thickBot="1" x14ac:dyDescent="0.35">
      <c r="A54" s="10">
        <v>34</v>
      </c>
      <c r="B54" s="11" t="s">
        <v>53</v>
      </c>
      <c r="C54" s="10" t="s">
        <v>22</v>
      </c>
      <c r="D54" s="36">
        <f>+((D7*D20)+(D8*D21)+(D7*D16*D23)+(D8*D17*D24))</f>
        <v>40974.883999999998</v>
      </c>
      <c r="F54" s="37">
        <f>+D54/((D7*D16)+(D8*D17))</f>
        <v>0.99744118792599801</v>
      </c>
    </row>
    <row r="55" spans="1:10" ht="14.5" thickBot="1" x14ac:dyDescent="0.35">
      <c r="D55" s="20"/>
      <c r="F55" s="33"/>
    </row>
    <row r="56" spans="1:10" ht="14.5" thickBot="1" x14ac:dyDescent="0.35">
      <c r="A56" s="10">
        <v>35</v>
      </c>
      <c r="B56" s="11" t="s">
        <v>54</v>
      </c>
      <c r="C56" s="10" t="s">
        <v>22</v>
      </c>
      <c r="D56" s="36">
        <f>+D49</f>
        <v>17590.274492712921</v>
      </c>
      <c r="F56" s="33"/>
    </row>
    <row r="57" spans="1:10" ht="14.5" thickBot="1" x14ac:dyDescent="0.35">
      <c r="F57" s="33"/>
    </row>
    <row r="58" spans="1:10" ht="14.5" thickBot="1" x14ac:dyDescent="0.35">
      <c r="A58" s="10">
        <v>36</v>
      </c>
      <c r="B58" s="11" t="s">
        <v>55</v>
      </c>
      <c r="C58" s="10" t="s">
        <v>22</v>
      </c>
      <c r="D58" s="36">
        <f>+D54-D56</f>
        <v>23384.609507287078</v>
      </c>
      <c r="F58" s="37">
        <f>+D58/((D7*D16)+(D8*D17))</f>
        <v>0.56924560631175947</v>
      </c>
    </row>
    <row r="59" spans="1:10" ht="14.5" thickBot="1" x14ac:dyDescent="0.35">
      <c r="F59" s="33"/>
      <c r="H59" s="34"/>
    </row>
    <row r="60" spans="1:10" ht="14.5" thickBot="1" x14ac:dyDescent="0.35">
      <c r="A60" s="10">
        <v>37</v>
      </c>
      <c r="B60" s="11" t="s">
        <v>56</v>
      </c>
      <c r="C60" s="10" t="s">
        <v>22</v>
      </c>
      <c r="F60" s="38">
        <f>-F58*0.035+F58</f>
        <v>0.54932201009084791</v>
      </c>
    </row>
    <row r="62" spans="1:10" x14ac:dyDescent="0.3">
      <c r="A62" s="10">
        <v>38</v>
      </c>
      <c r="B62" s="11" t="s">
        <v>57</v>
      </c>
      <c r="C62" s="10" t="s">
        <v>58</v>
      </c>
      <c r="D62" s="25"/>
      <c r="F62" s="39">
        <f>+(F60/F54)-1</f>
        <v>-0.44926877219391192</v>
      </c>
    </row>
  </sheetData>
  <sheetProtection sheet="1" objects="1" scenarios="1"/>
  <pageMargins left="0.7" right="0.7" top="0.75" bottom="0.75" header="0.3" footer="0.3"/>
  <pageSetup paperSize="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3316BFB36F6C47BC6ED19F4BC1A01F" ma:contentTypeVersion="6" ma:contentTypeDescription="Create a new document." ma:contentTypeScope="" ma:versionID="8de34e0b45c23f8b84f8022917a25dcb">
  <xsd:schema xmlns:xsd="http://www.w3.org/2001/XMLSchema" xmlns:xs="http://www.w3.org/2001/XMLSchema" xmlns:p="http://schemas.microsoft.com/office/2006/metadata/properties" xmlns:ns2="fe61ab33-b534-4014-81b5-33dc6e53d97d" xmlns:ns3="de47e1dc-7ff7-4cf6-abd6-1ddd705f25e8" targetNamespace="http://schemas.microsoft.com/office/2006/metadata/properties" ma:root="true" ma:fieldsID="693b55b2cb6777bb983469431e17c1a7" ns2:_="" ns3:_="">
    <xsd:import namespace="fe61ab33-b534-4014-81b5-33dc6e53d97d"/>
    <xsd:import namespace="de47e1dc-7ff7-4cf6-abd6-1ddd705f25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61ab33-b534-4014-81b5-33dc6e53d9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47e1dc-7ff7-4cf6-abd6-1ddd705f25e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A6F6B7-D9E3-4A43-8732-532E63E842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869F11-C3AF-4A9A-86C9-79EF02BC2884}">
  <ds:schemaRefs>
    <ds:schemaRef ds:uri="http://purl.org/dc/dcmitype/"/>
    <ds:schemaRef ds:uri="http://www.w3.org/XML/1998/namespace"/>
    <ds:schemaRef ds:uri="fe61ab33-b534-4014-81b5-33dc6e53d97d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de47e1dc-7ff7-4cf6-abd6-1ddd705f25e8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1242483-2BE5-4460-BEE3-3B6A344901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61ab33-b534-4014-81b5-33dc6e53d97d"/>
    <ds:schemaRef ds:uri="de47e1dc-7ff7-4cf6-abd6-1ddd705f25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NAV charge ready reckoner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Wightman</dc:creator>
  <cp:keywords/>
  <dc:description/>
  <cp:lastModifiedBy>Kevin Wightman</cp:lastModifiedBy>
  <cp:revision/>
  <dcterms:created xsi:type="dcterms:W3CDTF">2024-01-22T13:52:53Z</dcterms:created>
  <dcterms:modified xsi:type="dcterms:W3CDTF">2024-02-27T13:26:53Z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0x010100BD3316BFB36F6C47BC6ED19F4BC1A01F</vt:lpwstr>
  </property>
</Properties>
</file>