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pw-dfs-03\userdata_distribution$\jamie.jones\Documents\Regulation\Tariffs\"/>
    </mc:Choice>
  </mc:AlternateContent>
  <xr:revisionPtr revIDLastSave="0" documentId="13_ncr:1_{E8AF77F8-861E-4777-9DB7-57B667627050}" xr6:coauthVersionLast="47" xr6:coauthVersionMax="47" xr10:uidLastSave="{00000000-0000-0000-0000-000000000000}"/>
  <bookViews>
    <workbookView xWindow="1470" yWindow="-16320" windowWidth="27450" windowHeight="16440" tabRatio="863" xr2:uid="{00000000-000D-0000-FFFF-FFFF00000000}"/>
  </bookViews>
  <sheets>
    <sheet name="Ready Reckoner 22-23" sheetId="13" r:id="rId1"/>
    <sheet name="Scenarios 22-23" sheetId="1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8" i="12" l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D25" i="13" l="1"/>
  <c r="D29" i="13" s="1"/>
  <c r="P22" i="12"/>
  <c r="L22" i="12"/>
  <c r="H22" i="12"/>
  <c r="D22" i="12"/>
  <c r="F67" i="13" l="1"/>
  <c r="F62" i="13"/>
  <c r="C58" i="13"/>
  <c r="D32" i="13"/>
  <c r="D21" i="13"/>
  <c r="D11" i="13"/>
  <c r="A9" i="13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R70" i="12"/>
  <c r="R79" i="12" s="1"/>
  <c r="N70" i="12"/>
  <c r="N79" i="12" s="1"/>
  <c r="J70" i="12"/>
  <c r="J79" i="12" s="1"/>
  <c r="F70" i="12"/>
  <c r="F79" i="12" s="1"/>
  <c r="R65" i="12"/>
  <c r="N65" i="12"/>
  <c r="J65" i="12"/>
  <c r="F65" i="12"/>
  <c r="C61" i="12"/>
  <c r="C62" i="12" s="1"/>
  <c r="P35" i="12"/>
  <c r="L35" i="12"/>
  <c r="H35" i="12"/>
  <c r="D35" i="12"/>
  <c r="P26" i="12"/>
  <c r="P31" i="12" s="1"/>
  <c r="L26" i="12"/>
  <c r="L31" i="12" s="1"/>
  <c r="H26" i="12"/>
  <c r="H31" i="12" s="1"/>
  <c r="D26" i="12"/>
  <c r="D31" i="12" s="1"/>
  <c r="P45" i="12"/>
  <c r="L45" i="12"/>
  <c r="J66" i="12"/>
  <c r="D45" i="12"/>
  <c r="P12" i="12"/>
  <c r="L12" i="12"/>
  <c r="H12" i="12"/>
  <c r="D12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D28" i="13" l="1"/>
  <c r="D30" i="13" s="1"/>
  <c r="D24" i="13"/>
  <c r="D26" i="13" s="1"/>
  <c r="D37" i="13" s="1"/>
  <c r="D44" i="13" s="1"/>
  <c r="F63" i="13"/>
  <c r="F70" i="13" s="1"/>
  <c r="D42" i="13"/>
  <c r="C59" i="13"/>
  <c r="H36" i="12"/>
  <c r="H38" i="12" s="1"/>
  <c r="L25" i="12"/>
  <c r="L27" i="12" s="1"/>
  <c r="P30" i="12"/>
  <c r="P32" i="12" s="1"/>
  <c r="H30" i="12"/>
  <c r="H32" i="12" s="1"/>
  <c r="H25" i="12"/>
  <c r="H27" i="12" s="1"/>
  <c r="L30" i="12"/>
  <c r="L32" i="12" s="1"/>
  <c r="P25" i="12"/>
  <c r="P27" i="12" s="1"/>
  <c r="D33" i="13"/>
  <c r="D35" i="13" s="1"/>
  <c r="F35" i="13" s="1"/>
  <c r="J73" i="12"/>
  <c r="R45" i="12"/>
  <c r="F45" i="12"/>
  <c r="N45" i="12"/>
  <c r="F66" i="12"/>
  <c r="R66" i="12"/>
  <c r="D36" i="12"/>
  <c r="D38" i="12" s="1"/>
  <c r="N66" i="12"/>
  <c r="N73" i="12" s="1"/>
  <c r="H45" i="12"/>
  <c r="L36" i="12"/>
  <c r="L38" i="12" s="1"/>
  <c r="D25" i="12"/>
  <c r="D27" i="12" s="1"/>
  <c r="D30" i="12"/>
  <c r="D32" i="12" s="1"/>
  <c r="P36" i="12"/>
  <c r="P38" i="12" s="1"/>
  <c r="H40" i="12" l="1"/>
  <c r="H47" i="12" s="1"/>
  <c r="J67" i="12" s="1"/>
  <c r="J68" i="12" s="1"/>
  <c r="J71" i="12" s="1"/>
  <c r="L40" i="12"/>
  <c r="L47" i="12" s="1"/>
  <c r="N67" i="12" s="1"/>
  <c r="N68" i="12" s="1"/>
  <c r="N71" i="12" s="1"/>
  <c r="F64" i="13"/>
  <c r="F65" i="13" s="1"/>
  <c r="F68" i="13" s="1"/>
  <c r="F71" i="13" s="1"/>
  <c r="F75" i="13" s="1"/>
  <c r="F42" i="13"/>
  <c r="J80" i="12"/>
  <c r="J74" i="12"/>
  <c r="F73" i="12"/>
  <c r="J75" i="12"/>
  <c r="J76" i="12" s="1"/>
  <c r="R73" i="12"/>
  <c r="D40" i="12"/>
  <c r="D47" i="12" s="1"/>
  <c r="J45" i="12"/>
  <c r="H49" i="12"/>
  <c r="P40" i="12"/>
  <c r="P47" i="12" s="1"/>
  <c r="L49" i="12" l="1"/>
  <c r="N49" i="12" s="1"/>
  <c r="N51" i="12" s="1"/>
  <c r="D46" i="13"/>
  <c r="D48" i="13" s="1"/>
  <c r="F72" i="13"/>
  <c r="F73" i="13" s="1"/>
  <c r="F67" i="12"/>
  <c r="F68" i="12" s="1"/>
  <c r="F71" i="12" s="1"/>
  <c r="D49" i="12"/>
  <c r="R67" i="12"/>
  <c r="R68" i="12" s="1"/>
  <c r="R71" i="12" s="1"/>
  <c r="P49" i="12"/>
  <c r="H51" i="12"/>
  <c r="J49" i="12"/>
  <c r="J51" i="12" s="1"/>
  <c r="N74" i="12"/>
  <c r="N75" i="12" s="1"/>
  <c r="N76" i="12" s="1"/>
  <c r="N80" i="12"/>
  <c r="L51" i="12"/>
  <c r="F46" i="13" l="1"/>
  <c r="F48" i="13" s="1"/>
  <c r="F80" i="12"/>
  <c r="F74" i="12"/>
  <c r="F75" i="12" s="1"/>
  <c r="F76" i="12" s="1"/>
  <c r="P51" i="12"/>
  <c r="R49" i="12"/>
  <c r="R51" i="12" s="1"/>
  <c r="R80" i="12"/>
  <c r="R74" i="12"/>
  <c r="R75" i="12" s="1"/>
  <c r="R76" i="12" s="1"/>
  <c r="D51" i="12"/>
  <c r="F49" i="12"/>
  <c r="F51" i="12" s="1"/>
</calcChain>
</file>

<file path=xl/sharedStrings.xml><?xml version="1.0" encoding="utf-8"?>
<sst xmlns="http://schemas.openxmlformats.org/spreadsheetml/2006/main" count="190" uniqueCount="68">
  <si>
    <t>Units</t>
  </si>
  <si>
    <t>Number of households</t>
  </si>
  <si>
    <t>#</t>
  </si>
  <si>
    <t>Number of non-houesholds</t>
  </si>
  <si>
    <t>Length of mains</t>
  </si>
  <si>
    <t>km</t>
  </si>
  <si>
    <t>Implied density rate</t>
  </si>
  <si>
    <t>m/#</t>
  </si>
  <si>
    <t>Annual water demand per household</t>
  </si>
  <si>
    <t>m3</t>
  </si>
  <si>
    <t>Annual water demand per non-household</t>
  </si>
  <si>
    <t>Household standing charge</t>
  </si>
  <si>
    <t>£</t>
  </si>
  <si>
    <t>Non-household standing charge</t>
  </si>
  <si>
    <t>Household volume charge</t>
  </si>
  <si>
    <t>£/m3</t>
  </si>
  <si>
    <t>Non-houeshold volume charge</t>
  </si>
  <si>
    <t>Operating Costs  (2018/19 inflated)</t>
  </si>
  <si>
    <t>Local distribution operating costs (excl o'heads)</t>
  </si>
  <si>
    <t>£ 000s</t>
  </si>
  <si>
    <t>Length of local distribution</t>
  </si>
  <si>
    <t>Implied opex per metre (length)</t>
  </si>
  <si>
    <t>£/m</t>
  </si>
  <si>
    <t>Maintenance Costs</t>
  </si>
  <si>
    <t>Local distribution renewals charge</t>
  </si>
  <si>
    <t>Renewals charge per metre (length)</t>
  </si>
  <si>
    <t>Return on investment</t>
  </si>
  <si>
    <t>No. of meters on site</t>
  </si>
  <si>
    <t>Unit cost (£/meter)</t>
  </si>
  <si>
    <t>Cost of capital</t>
  </si>
  <si>
    <t>Return per meter (asset)</t>
  </si>
  <si>
    <t>Total Cost forgone</t>
  </si>
  <si>
    <t>Cost</t>
  </si>
  <si>
    <t>Unit Rate</t>
  </si>
  <si>
    <t>Wholesale Charge</t>
  </si>
  <si>
    <t>Costs forgone</t>
  </si>
  <si>
    <t>NAV charge</t>
  </si>
  <si>
    <t>Reduction on standard charges</t>
  </si>
  <si>
    <t>Retail Price Index</t>
  </si>
  <si>
    <t xml:space="preserve">Average 2018/19              </t>
  </si>
  <si>
    <t>Consumer Price Index</t>
  </si>
  <si>
    <t>November 2018</t>
  </si>
  <si>
    <t>Indexation</t>
  </si>
  <si>
    <t>Inflator</t>
  </si>
  <si>
    <t xml:space="preserve">November 2018                </t>
  </si>
  <si>
    <t>Build up</t>
  </si>
  <si>
    <t>Standing charge income</t>
  </si>
  <si>
    <t>Volume charge income</t>
  </si>
  <si>
    <t>Cost forgone</t>
  </si>
  <si>
    <t>Volume charge</t>
  </si>
  <si>
    <t>Annual Fixed Charge</t>
  </si>
  <si>
    <t>Volume income</t>
  </si>
  <si>
    <t>Unit price</t>
  </si>
  <si>
    <t>So each day the NAV pay £0.7467 per cubic metre less</t>
  </si>
  <si>
    <t>The 4 scenarios shown allow the user to understand the impact different property arrangments will have on our NAV charge.</t>
  </si>
  <si>
    <t>A</t>
  </si>
  <si>
    <t>B</t>
  </si>
  <si>
    <t>C</t>
  </si>
  <si>
    <t>D</t>
  </si>
  <si>
    <t>NAV Pays</t>
  </si>
  <si>
    <t>Volume Charge</t>
  </si>
  <si>
    <t>Daily payment to NAV</t>
  </si>
  <si>
    <t>November 2021</t>
  </si>
  <si>
    <t>Portsmouth Water NAV tariff (2022/23)</t>
  </si>
  <si>
    <t>Detailed discussion is provided in our NAV document, 2022/23</t>
  </si>
  <si>
    <t>Wholesale Tariffs (from 1 July 2022)</t>
  </si>
  <si>
    <t>Contact Jamie Jones</t>
  </si>
  <si>
    <t>jamie.jones@portsmouthwater.co.uk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</si>
</sst>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0"/>
    <numFmt numFmtId="165" formatCode="0.000"/>
    <numFmt numFmtId="166" formatCode="0.0%"/>
    <numFmt numFmtId="167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0" fillId="0" borderId="0" xfId="0" applyFill="1"/>
    <xf numFmtId="0" fontId="2" fillId="0" borderId="0" xfId="0" applyFont="1" applyAlignment="1">
      <alignment horizontal="center"/>
    </xf>
    <xf numFmtId="0" fontId="0" fillId="2" borderId="0" xfId="0" applyFill="1"/>
    <xf numFmtId="2" fontId="0" fillId="3" borderId="0" xfId="0" applyNumberFormat="1" applyFill="1"/>
    <xf numFmtId="0" fontId="0" fillId="0" borderId="0" xfId="0" quotePrefix="1"/>
    <xf numFmtId="0" fontId="0" fillId="4" borderId="0" xfId="0" applyFill="1"/>
    <xf numFmtId="165" fontId="0" fillId="0" borderId="0" xfId="0" applyNumberFormat="1" applyFill="1"/>
    <xf numFmtId="0" fontId="0" fillId="0" borderId="0" xfId="0" applyFill="1" applyBorder="1"/>
    <xf numFmtId="1" fontId="0" fillId="0" borderId="0" xfId="0" applyNumberFormat="1" applyFill="1" applyBorder="1" applyAlignment="1">
      <alignment horizontal="right"/>
    </xf>
    <xf numFmtId="165" fontId="0" fillId="3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/>
    <xf numFmtId="1" fontId="0" fillId="3" borderId="0" xfId="0" applyNumberFormat="1" applyFill="1" applyBorder="1"/>
    <xf numFmtId="1" fontId="0" fillId="0" borderId="0" xfId="0" applyNumberFormat="1" applyFill="1" applyBorder="1"/>
    <xf numFmtId="1" fontId="0" fillId="0" borderId="0" xfId="0" applyNumberFormat="1"/>
    <xf numFmtId="10" fontId="0" fillId="0" borderId="0" xfId="2" applyNumberFormat="1" applyFont="1" applyFill="1" applyBorder="1"/>
    <xf numFmtId="10" fontId="0" fillId="0" borderId="0" xfId="2" applyNumberFormat="1" applyFont="1"/>
    <xf numFmtId="2" fontId="0" fillId="3" borderId="0" xfId="2" applyNumberFormat="1" applyFont="1" applyFill="1" applyBorder="1"/>
    <xf numFmtId="1" fontId="0" fillId="3" borderId="1" xfId="0" applyNumberFormat="1" applyFill="1" applyBorder="1"/>
    <xf numFmtId="165" fontId="0" fillId="3" borderId="1" xfId="0" applyNumberFormat="1" applyFill="1" applyBorder="1"/>
    <xf numFmtId="165" fontId="0" fillId="0" borderId="0" xfId="0" applyNumberFormat="1" applyFill="1" applyBorder="1"/>
    <xf numFmtId="9" fontId="0" fillId="0" borderId="0" xfId="2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" fontId="0" fillId="0" borderId="0" xfId="0" quotePrefix="1" applyNumberFormat="1" applyAlignment="1">
      <alignment vertical="center"/>
    </xf>
    <xf numFmtId="165" fontId="0" fillId="0" borderId="0" xfId="0" applyNumberFormat="1"/>
    <xf numFmtId="17" fontId="0" fillId="0" borderId="0" xfId="0" applyNumberFormat="1" applyAlignment="1">
      <alignment vertical="center"/>
    </xf>
    <xf numFmtId="166" fontId="0" fillId="0" borderId="0" xfId="2" applyNumberFormat="1" applyFont="1"/>
    <xf numFmtId="0" fontId="3" fillId="0" borderId="0" xfId="3"/>
    <xf numFmtId="1" fontId="0" fillId="2" borderId="0" xfId="0" applyNumberFormat="1" applyFill="1"/>
    <xf numFmtId="1" fontId="0" fillId="3" borderId="0" xfId="0" applyNumberForma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10" fontId="0" fillId="3" borderId="0" xfId="2" applyNumberFormat="1" applyFon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4" xfId="0" applyNumberFormat="1" applyFill="1" applyBorder="1"/>
    <xf numFmtId="164" fontId="0" fillId="3" borderId="2" xfId="0" applyNumberFormat="1" applyFill="1" applyBorder="1"/>
    <xf numFmtId="3" fontId="0" fillId="3" borderId="2" xfId="0" applyNumberFormat="1" applyFill="1" applyBorder="1"/>
    <xf numFmtId="3" fontId="0" fillId="0" borderId="0" xfId="0" applyNumberFormat="1"/>
    <xf numFmtId="3" fontId="0" fillId="3" borderId="3" xfId="0" applyNumberFormat="1" applyFill="1" applyBorder="1"/>
    <xf numFmtId="165" fontId="0" fillId="3" borderId="4" xfId="0" applyNumberFormat="1" applyFill="1" applyBorder="1"/>
    <xf numFmtId="2" fontId="0" fillId="0" borderId="0" xfId="0" applyNumberFormat="1"/>
    <xf numFmtId="2" fontId="0" fillId="3" borderId="4" xfId="0" applyNumberFormat="1" applyFill="1" applyBorder="1"/>
    <xf numFmtId="164" fontId="0" fillId="4" borderId="0" xfId="0" applyNumberFormat="1" applyFill="1"/>
    <xf numFmtId="0" fontId="0" fillId="0" borderId="0" xfId="0" applyFill="1" applyAlignment="1">
      <alignment vertical="center"/>
    </xf>
    <xf numFmtId="167" fontId="0" fillId="3" borderId="1" xfId="1" applyNumberFormat="1" applyFont="1" applyFill="1" applyBorder="1"/>
    <xf numFmtId="0" fontId="0" fillId="5" borderId="0" xfId="0" applyFill="1"/>
    <xf numFmtId="164" fontId="0" fillId="5" borderId="0" xfId="0" applyNumberFormat="1" applyFill="1"/>
    <xf numFmtId="0" fontId="0" fillId="0" borderId="0" xfId="0" applyAlignment="1">
      <alignment horizontal="lef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mie.jones@portsmouthwater.co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J75"/>
  <sheetViews>
    <sheetView tabSelected="1" workbookViewId="0">
      <selection activeCell="I20" sqref="I20"/>
    </sheetView>
  </sheetViews>
  <sheetFormatPr defaultRowHeight="15" x14ac:dyDescent="0.25"/>
  <cols>
    <col min="1" max="1" width="4.7109375" customWidth="1"/>
    <col min="2" max="2" width="49.140625" bestFit="1" customWidth="1"/>
    <col min="4" max="4" width="9.5703125" bestFit="1" customWidth="1"/>
    <col min="5" max="5" width="3.5703125" customWidth="1"/>
  </cols>
  <sheetData>
    <row r="1" spans="1:7" x14ac:dyDescent="0.25">
      <c r="B1" s="1" t="s">
        <v>63</v>
      </c>
      <c r="D1" s="4"/>
      <c r="E1" s="4"/>
      <c r="F1" s="4"/>
      <c r="G1" s="4"/>
    </row>
    <row r="2" spans="1:7" x14ac:dyDescent="0.25">
      <c r="B2" s="1"/>
      <c r="D2" s="4"/>
      <c r="E2" s="4"/>
      <c r="F2" s="4"/>
      <c r="G2" s="4"/>
    </row>
    <row r="3" spans="1:7" x14ac:dyDescent="0.25">
      <c r="B3" s="1" t="s">
        <v>66</v>
      </c>
      <c r="D3" s="4"/>
      <c r="E3" s="4"/>
      <c r="F3" s="4"/>
      <c r="G3" s="4"/>
    </row>
    <row r="4" spans="1:7" x14ac:dyDescent="0.25">
      <c r="B4" s="1"/>
      <c r="D4" s="4"/>
      <c r="E4" s="4"/>
      <c r="F4" s="4"/>
      <c r="G4" s="4"/>
    </row>
    <row r="5" spans="1:7" x14ac:dyDescent="0.25">
      <c r="B5" s="31" t="s">
        <v>67</v>
      </c>
      <c r="D5" s="4"/>
      <c r="E5" s="4"/>
      <c r="F5" s="4"/>
      <c r="G5" s="4"/>
    </row>
    <row r="6" spans="1:7" x14ac:dyDescent="0.25">
      <c r="B6" s="1"/>
      <c r="D6" s="4"/>
      <c r="E6" s="4"/>
      <c r="F6" s="4"/>
      <c r="G6" s="4"/>
    </row>
    <row r="7" spans="1:7" x14ac:dyDescent="0.25">
      <c r="C7" s="1" t="s">
        <v>0</v>
      </c>
    </row>
    <row r="8" spans="1:7" x14ac:dyDescent="0.25">
      <c r="A8">
        <v>1</v>
      </c>
      <c r="B8" t="s">
        <v>1</v>
      </c>
      <c r="C8" t="s">
        <v>2</v>
      </c>
      <c r="D8" s="5">
        <v>300</v>
      </c>
    </row>
    <row r="9" spans="1:7" x14ac:dyDescent="0.25">
      <c r="A9">
        <f>+A8+1</f>
        <v>2</v>
      </c>
      <c r="B9" t="s">
        <v>3</v>
      </c>
      <c r="C9" t="s">
        <v>2</v>
      </c>
      <c r="D9" s="5">
        <v>50</v>
      </c>
    </row>
    <row r="10" spans="1:7" x14ac:dyDescent="0.25">
      <c r="A10">
        <f t="shared" ref="A10:A73" si="0">+A9+1</f>
        <v>3</v>
      </c>
      <c r="B10" t="s">
        <v>4</v>
      </c>
      <c r="C10" t="s">
        <v>5</v>
      </c>
      <c r="D10" s="5">
        <v>2.75</v>
      </c>
    </row>
    <row r="11" spans="1:7" x14ac:dyDescent="0.25">
      <c r="A11">
        <f t="shared" si="0"/>
        <v>4</v>
      </c>
      <c r="B11" t="s">
        <v>6</v>
      </c>
      <c r="C11" t="s">
        <v>7</v>
      </c>
      <c r="D11" s="6">
        <f>+D10*1000/(D8+D9)</f>
        <v>7.8571428571428568</v>
      </c>
    </row>
    <row r="12" spans="1:7" x14ac:dyDescent="0.25">
      <c r="A12">
        <f t="shared" si="0"/>
        <v>5</v>
      </c>
    </row>
    <row r="13" spans="1:7" x14ac:dyDescent="0.25">
      <c r="A13">
        <f t="shared" si="0"/>
        <v>6</v>
      </c>
      <c r="B13" t="s">
        <v>8</v>
      </c>
      <c r="C13" t="s">
        <v>9</v>
      </c>
      <c r="D13" s="32">
        <v>120</v>
      </c>
    </row>
    <row r="14" spans="1:7" x14ac:dyDescent="0.25">
      <c r="A14">
        <f t="shared" si="0"/>
        <v>7</v>
      </c>
      <c r="B14" t="s">
        <v>10</v>
      </c>
      <c r="C14" t="s">
        <v>9</v>
      </c>
      <c r="D14" s="5">
        <v>400</v>
      </c>
    </row>
    <row r="15" spans="1:7" x14ac:dyDescent="0.25">
      <c r="A15">
        <f t="shared" si="0"/>
        <v>8</v>
      </c>
    </row>
    <row r="16" spans="1:7" x14ac:dyDescent="0.25">
      <c r="A16">
        <f t="shared" si="0"/>
        <v>9</v>
      </c>
      <c r="B16" s="1" t="s">
        <v>65</v>
      </c>
    </row>
    <row r="17" spans="1:5" x14ac:dyDescent="0.25">
      <c r="A17">
        <f t="shared" si="0"/>
        <v>10</v>
      </c>
      <c r="B17" t="s">
        <v>11</v>
      </c>
      <c r="C17" t="s">
        <v>12</v>
      </c>
      <c r="D17" s="8">
        <v>14.66</v>
      </c>
    </row>
    <row r="18" spans="1:5" x14ac:dyDescent="0.25">
      <c r="A18">
        <f t="shared" si="0"/>
        <v>11</v>
      </c>
      <c r="B18" t="s">
        <v>13</v>
      </c>
      <c r="C18" t="s">
        <v>12</v>
      </c>
      <c r="D18" s="8">
        <v>14.71</v>
      </c>
    </row>
    <row r="19" spans="1:5" x14ac:dyDescent="0.25">
      <c r="A19">
        <f t="shared" si="0"/>
        <v>12</v>
      </c>
    </row>
    <row r="20" spans="1:5" x14ac:dyDescent="0.25">
      <c r="A20">
        <f t="shared" si="0"/>
        <v>13</v>
      </c>
      <c r="B20" t="s">
        <v>14</v>
      </c>
      <c r="C20" t="s">
        <v>15</v>
      </c>
      <c r="D20" s="46">
        <v>0.7823</v>
      </c>
    </row>
    <row r="21" spans="1:5" x14ac:dyDescent="0.25">
      <c r="A21">
        <f t="shared" si="0"/>
        <v>14</v>
      </c>
      <c r="B21" t="s">
        <v>16</v>
      </c>
      <c r="C21" t="s">
        <v>15</v>
      </c>
      <c r="D21" s="46">
        <f>+D20</f>
        <v>0.7823</v>
      </c>
    </row>
    <row r="22" spans="1:5" x14ac:dyDescent="0.25">
      <c r="A22">
        <f t="shared" si="0"/>
        <v>15</v>
      </c>
      <c r="D22" s="9"/>
    </row>
    <row r="23" spans="1:5" x14ac:dyDescent="0.25">
      <c r="A23">
        <f t="shared" si="0"/>
        <v>16</v>
      </c>
      <c r="B23" s="1" t="s">
        <v>17</v>
      </c>
      <c r="D23" s="9"/>
    </row>
    <row r="24" spans="1:5" x14ac:dyDescent="0.25">
      <c r="A24">
        <f t="shared" si="0"/>
        <v>17</v>
      </c>
      <c r="B24" t="s">
        <v>18</v>
      </c>
      <c r="C24" s="10" t="s">
        <v>19</v>
      </c>
      <c r="D24" s="15">
        <f>4563*C58</f>
        <v>4909.8313145518359</v>
      </c>
      <c r="E24" s="11"/>
    </row>
    <row r="25" spans="1:5" x14ac:dyDescent="0.25">
      <c r="A25">
        <f t="shared" si="0"/>
        <v>18</v>
      </c>
      <c r="B25" t="s">
        <v>20</v>
      </c>
      <c r="C25" s="10" t="s">
        <v>5</v>
      </c>
      <c r="D25" s="33">
        <f>2858400/1000</f>
        <v>2858.4</v>
      </c>
      <c r="E25" s="11"/>
    </row>
    <row r="26" spans="1:5" x14ac:dyDescent="0.25">
      <c r="A26">
        <f t="shared" si="0"/>
        <v>19</v>
      </c>
      <c r="B26" s="10" t="s">
        <v>21</v>
      </c>
      <c r="C26" s="10" t="s">
        <v>22</v>
      </c>
      <c r="D26" s="12">
        <f>+D24/(D25)</f>
        <v>1.7176851786145522</v>
      </c>
      <c r="E26" s="11"/>
    </row>
    <row r="27" spans="1:5" x14ac:dyDescent="0.25">
      <c r="A27">
        <f t="shared" si="0"/>
        <v>20</v>
      </c>
      <c r="B27" s="1" t="s">
        <v>23</v>
      </c>
      <c r="C27" s="10"/>
      <c r="D27" s="13"/>
      <c r="E27" s="11"/>
    </row>
    <row r="28" spans="1:5" x14ac:dyDescent="0.25">
      <c r="A28">
        <f t="shared" si="0"/>
        <v>21</v>
      </c>
      <c r="B28" t="s">
        <v>24</v>
      </c>
      <c r="C28" s="10" t="s">
        <v>19</v>
      </c>
      <c r="D28" s="33">
        <f>999*C58</f>
        <v>1074.9334830675616</v>
      </c>
      <c r="E28" s="11"/>
    </row>
    <row r="29" spans="1:5" x14ac:dyDescent="0.25">
      <c r="A29">
        <f t="shared" si="0"/>
        <v>22</v>
      </c>
      <c r="B29" t="s">
        <v>20</v>
      </c>
      <c r="C29" s="10" t="s">
        <v>5</v>
      </c>
      <c r="D29" s="33">
        <f>+D25</f>
        <v>2858.4</v>
      </c>
      <c r="E29" s="11"/>
    </row>
    <row r="30" spans="1:5" x14ac:dyDescent="0.25">
      <c r="A30">
        <f t="shared" si="0"/>
        <v>23</v>
      </c>
      <c r="B30" t="s">
        <v>25</v>
      </c>
      <c r="C30" s="10" t="s">
        <v>22</v>
      </c>
      <c r="D30" s="12">
        <f>+D28/(D29)</f>
        <v>0.37606125212271257</v>
      </c>
      <c r="E30" s="11"/>
    </row>
    <row r="31" spans="1:5" x14ac:dyDescent="0.25">
      <c r="A31">
        <f t="shared" si="0"/>
        <v>24</v>
      </c>
      <c r="B31" s="2" t="s">
        <v>26</v>
      </c>
      <c r="C31" s="10"/>
      <c r="D31" s="10"/>
      <c r="E31" s="10"/>
    </row>
    <row r="32" spans="1:5" x14ac:dyDescent="0.25">
      <c r="A32">
        <f t="shared" si="0"/>
        <v>25</v>
      </c>
      <c r="B32" s="14" t="s">
        <v>27</v>
      </c>
      <c r="C32" s="10" t="s">
        <v>2</v>
      </c>
      <c r="D32" s="15">
        <f>+D8+D9</f>
        <v>350</v>
      </c>
      <c r="E32" s="10"/>
    </row>
    <row r="33" spans="1:7" x14ac:dyDescent="0.25">
      <c r="A33">
        <f t="shared" si="0"/>
        <v>26</v>
      </c>
      <c r="B33" s="14" t="s">
        <v>28</v>
      </c>
      <c r="C33" s="10" t="s">
        <v>12</v>
      </c>
      <c r="D33" s="15">
        <f>250*C58</f>
        <v>269.00237314003044</v>
      </c>
      <c r="E33" s="16"/>
      <c r="F33" s="17"/>
      <c r="G33" s="17"/>
    </row>
    <row r="34" spans="1:7" ht="15.75" thickBot="1" x14ac:dyDescent="0.3">
      <c r="A34">
        <f t="shared" si="0"/>
        <v>27</v>
      </c>
      <c r="B34" s="14" t="s">
        <v>29</v>
      </c>
      <c r="C34" s="10"/>
      <c r="D34" s="35">
        <v>4.7399999999999998E-2</v>
      </c>
      <c r="E34" s="18"/>
      <c r="F34" s="19"/>
      <c r="G34" s="19"/>
    </row>
    <row r="35" spans="1:7" ht="15.75" thickBot="1" x14ac:dyDescent="0.3">
      <c r="A35">
        <f t="shared" si="0"/>
        <v>28</v>
      </c>
      <c r="B35" s="14" t="s">
        <v>30</v>
      </c>
      <c r="C35" s="10" t="s">
        <v>12</v>
      </c>
      <c r="D35" s="20">
        <f>+D33*D34</f>
        <v>12.750712486837442</v>
      </c>
      <c r="E35" s="18"/>
      <c r="F35" s="48">
        <f>D35*D32</f>
        <v>4462.749370393105</v>
      </c>
      <c r="G35" s="19"/>
    </row>
    <row r="36" spans="1:7" ht="15.75" thickBot="1" x14ac:dyDescent="0.3">
      <c r="A36">
        <f t="shared" si="0"/>
        <v>29</v>
      </c>
      <c r="D36" s="9"/>
    </row>
    <row r="37" spans="1:7" ht="15.75" thickBot="1" x14ac:dyDescent="0.3">
      <c r="A37">
        <f t="shared" si="0"/>
        <v>30</v>
      </c>
      <c r="B37" s="1" t="s">
        <v>31</v>
      </c>
      <c r="C37" s="1" t="s">
        <v>12</v>
      </c>
      <c r="D37" s="21">
        <f>+(D10*1000*D26)+(D10*1000*D30)+(D32*D33*D34)</f>
        <v>10220.552054920583</v>
      </c>
    </row>
    <row r="38" spans="1:7" x14ac:dyDescent="0.25">
      <c r="A38">
        <f t="shared" si="0"/>
        <v>31</v>
      </c>
      <c r="D38" s="9"/>
    </row>
    <row r="39" spans="1:7" x14ac:dyDescent="0.25">
      <c r="A39">
        <f t="shared" si="0"/>
        <v>32</v>
      </c>
      <c r="D39" s="9" t="s">
        <v>32</v>
      </c>
      <c r="F39" t="s">
        <v>33</v>
      </c>
    </row>
    <row r="40" spans="1:7" x14ac:dyDescent="0.25">
      <c r="A40">
        <f t="shared" si="0"/>
        <v>33</v>
      </c>
      <c r="D40" s="9" t="s">
        <v>12</v>
      </c>
      <c r="F40" t="s">
        <v>15</v>
      </c>
    </row>
    <row r="41" spans="1:7" ht="15.75" thickBot="1" x14ac:dyDescent="0.3">
      <c r="A41">
        <f t="shared" si="0"/>
        <v>34</v>
      </c>
      <c r="D41" s="9"/>
    </row>
    <row r="42" spans="1:7" ht="15.75" thickBot="1" x14ac:dyDescent="0.3">
      <c r="A42">
        <f t="shared" si="0"/>
        <v>35</v>
      </c>
      <c r="B42" s="1" t="s">
        <v>34</v>
      </c>
      <c r="C42" t="s">
        <v>12</v>
      </c>
      <c r="D42" s="21">
        <f>+((D8*D17)+(D9*D18)+(D8*D13*D20)+(D9*D14*D21))</f>
        <v>48942.3</v>
      </c>
      <c r="F42" s="22">
        <f>+D42/((D8*D13)+(D9*D14))</f>
        <v>0.87396964285714296</v>
      </c>
    </row>
    <row r="43" spans="1:7" ht="15.75" thickBot="1" x14ac:dyDescent="0.3">
      <c r="A43">
        <f t="shared" si="0"/>
        <v>36</v>
      </c>
      <c r="D43" s="23"/>
    </row>
    <row r="44" spans="1:7" ht="15.75" thickBot="1" x14ac:dyDescent="0.3">
      <c r="A44">
        <f t="shared" si="0"/>
        <v>37</v>
      </c>
      <c r="B44" s="2" t="s">
        <v>35</v>
      </c>
      <c r="C44" s="10"/>
      <c r="D44" s="21">
        <f>+D37</f>
        <v>10220.552054920583</v>
      </c>
      <c r="E44" s="10"/>
    </row>
    <row r="45" spans="1:7" ht="15.75" thickBot="1" x14ac:dyDescent="0.3">
      <c r="A45">
        <f t="shared" si="0"/>
        <v>38</v>
      </c>
    </row>
    <row r="46" spans="1:7" ht="15.75" thickBot="1" x14ac:dyDescent="0.3">
      <c r="A46">
        <f t="shared" si="0"/>
        <v>39</v>
      </c>
      <c r="B46" s="1" t="s">
        <v>36</v>
      </c>
      <c r="D46" s="21">
        <f>+D42-D44</f>
        <v>38721.74794507942</v>
      </c>
      <c r="F46" s="22">
        <f>+D46/((D8*D13)+(D9*D14))</f>
        <v>0.69145978473356107</v>
      </c>
    </row>
    <row r="47" spans="1:7" x14ac:dyDescent="0.25">
      <c r="A47">
        <f t="shared" si="0"/>
        <v>40</v>
      </c>
    </row>
    <row r="48" spans="1:7" x14ac:dyDescent="0.25">
      <c r="A48">
        <f t="shared" si="0"/>
        <v>41</v>
      </c>
      <c r="B48" s="1" t="s">
        <v>37</v>
      </c>
      <c r="D48" s="24">
        <f>+(D46/D42)-1</f>
        <v>-0.20882860133096692</v>
      </c>
      <c r="F48" s="24">
        <f>+(F46/F42)-1</f>
        <v>-0.20882860133096692</v>
      </c>
    </row>
    <row r="49" spans="1:6" x14ac:dyDescent="0.25">
      <c r="A49">
        <f t="shared" si="0"/>
        <v>42</v>
      </c>
    </row>
    <row r="50" spans="1:6" x14ac:dyDescent="0.25">
      <c r="A50">
        <f t="shared" si="0"/>
        <v>43</v>
      </c>
      <c r="B50" s="1" t="s">
        <v>38</v>
      </c>
    </row>
    <row r="51" spans="1:6" x14ac:dyDescent="0.25">
      <c r="A51">
        <f t="shared" si="0"/>
        <v>44</v>
      </c>
      <c r="B51" s="47" t="s">
        <v>44</v>
      </c>
      <c r="C51" s="3">
        <v>284.60000000000002</v>
      </c>
    </row>
    <row r="52" spans="1:6" x14ac:dyDescent="0.25">
      <c r="A52">
        <f t="shared" si="0"/>
        <v>45</v>
      </c>
      <c r="B52" s="25" t="s">
        <v>39</v>
      </c>
      <c r="C52">
        <v>283.3</v>
      </c>
    </row>
    <row r="53" spans="1:6" x14ac:dyDescent="0.25">
      <c r="A53">
        <f t="shared" si="0"/>
        <v>46</v>
      </c>
    </row>
    <row r="54" spans="1:6" x14ac:dyDescent="0.25">
      <c r="A54">
        <f t="shared" si="0"/>
        <v>47</v>
      </c>
      <c r="B54" s="26" t="s">
        <v>40</v>
      </c>
    </row>
    <row r="55" spans="1:6" x14ac:dyDescent="0.25">
      <c r="A55">
        <f t="shared" si="0"/>
        <v>48</v>
      </c>
      <c r="B55" s="27" t="s">
        <v>62</v>
      </c>
      <c r="C55" s="3">
        <v>114.5</v>
      </c>
    </row>
    <row r="56" spans="1:6" x14ac:dyDescent="0.25">
      <c r="A56">
        <f t="shared" si="0"/>
        <v>49</v>
      </c>
      <c r="B56" s="27" t="s">
        <v>41</v>
      </c>
      <c r="C56">
        <v>106.9</v>
      </c>
    </row>
    <row r="57" spans="1:6" x14ac:dyDescent="0.25">
      <c r="A57">
        <f t="shared" si="0"/>
        <v>50</v>
      </c>
      <c r="B57" s="27"/>
    </row>
    <row r="58" spans="1:6" x14ac:dyDescent="0.25">
      <c r="A58">
        <f t="shared" si="0"/>
        <v>51</v>
      </c>
      <c r="B58" t="s">
        <v>42</v>
      </c>
      <c r="C58" s="28">
        <f>+(C51/C52)*C55/C56</f>
        <v>1.0760094925601218</v>
      </c>
    </row>
    <row r="59" spans="1:6" x14ac:dyDescent="0.25">
      <c r="A59">
        <f t="shared" si="0"/>
        <v>52</v>
      </c>
      <c r="B59" s="29" t="s">
        <v>43</v>
      </c>
      <c r="C59" s="30">
        <f>+C58-1</f>
        <v>7.6009492560121794E-2</v>
      </c>
    </row>
    <row r="60" spans="1:6" x14ac:dyDescent="0.25">
      <c r="A60">
        <f t="shared" si="0"/>
        <v>53</v>
      </c>
    </row>
    <row r="61" spans="1:6" ht="15.75" thickBot="1" x14ac:dyDescent="0.3">
      <c r="A61">
        <f t="shared" si="0"/>
        <v>54</v>
      </c>
      <c r="B61" s="1" t="s">
        <v>45</v>
      </c>
    </row>
    <row r="62" spans="1:6" x14ac:dyDescent="0.25">
      <c r="A62">
        <f t="shared" si="0"/>
        <v>55</v>
      </c>
      <c r="B62" t="s">
        <v>46</v>
      </c>
      <c r="C62" t="s">
        <v>12</v>
      </c>
      <c r="F62" s="36">
        <f>+(D8*D17)+(D9*D18)</f>
        <v>5133.5</v>
      </c>
    </row>
    <row r="63" spans="1:6" x14ac:dyDescent="0.25">
      <c r="A63">
        <f t="shared" si="0"/>
        <v>56</v>
      </c>
      <c r="B63" t="s">
        <v>47</v>
      </c>
      <c r="C63" t="s">
        <v>12</v>
      </c>
      <c r="F63" s="37">
        <f>+(D8*D13*D20)+(D9*D14*D21)</f>
        <v>43808.800000000003</v>
      </c>
    </row>
    <row r="64" spans="1:6" x14ac:dyDescent="0.25">
      <c r="A64">
        <f t="shared" si="0"/>
        <v>57</v>
      </c>
      <c r="B64" t="s">
        <v>48</v>
      </c>
      <c r="F64" s="37">
        <f>+D44</f>
        <v>10220.552054920583</v>
      </c>
    </row>
    <row r="65" spans="1:10" ht="15.75" thickBot="1" x14ac:dyDescent="0.3">
      <c r="A65">
        <f t="shared" si="0"/>
        <v>58</v>
      </c>
      <c r="B65" t="s">
        <v>36</v>
      </c>
      <c r="C65" t="s">
        <v>12</v>
      </c>
      <c r="F65" s="38">
        <f>+F62+F63-F64</f>
        <v>38721.74794507942</v>
      </c>
    </row>
    <row r="66" spans="1:10" ht="15.75" thickBot="1" x14ac:dyDescent="0.3">
      <c r="A66">
        <f t="shared" si="0"/>
        <v>59</v>
      </c>
    </row>
    <row r="67" spans="1:10" x14ac:dyDescent="0.25">
      <c r="A67">
        <f t="shared" si="0"/>
        <v>60</v>
      </c>
      <c r="B67" t="s">
        <v>49</v>
      </c>
      <c r="C67" t="s">
        <v>15</v>
      </c>
      <c r="F67" s="39">
        <f>+D20</f>
        <v>0.7823</v>
      </c>
    </row>
    <row r="68" spans="1:10" ht="15.75" thickBot="1" x14ac:dyDescent="0.3">
      <c r="A68">
        <f t="shared" si="0"/>
        <v>61</v>
      </c>
      <c r="B68" t="s">
        <v>50</v>
      </c>
      <c r="C68" t="s">
        <v>12</v>
      </c>
      <c r="F68" s="38">
        <f>+F65-F63</f>
        <v>-5087.052054920583</v>
      </c>
    </row>
    <row r="69" spans="1:10" ht="15.75" thickBot="1" x14ac:dyDescent="0.3">
      <c r="A69">
        <f t="shared" si="0"/>
        <v>62</v>
      </c>
    </row>
    <row r="70" spans="1:10" x14ac:dyDescent="0.25">
      <c r="A70">
        <f t="shared" si="0"/>
        <v>63</v>
      </c>
      <c r="B70" t="s">
        <v>51</v>
      </c>
      <c r="C70" t="s">
        <v>9</v>
      </c>
      <c r="F70" s="40">
        <f>+F63</f>
        <v>43808.800000000003</v>
      </c>
      <c r="J70" s="41"/>
    </row>
    <row r="71" spans="1:10" x14ac:dyDescent="0.25">
      <c r="A71">
        <f t="shared" si="0"/>
        <v>64</v>
      </c>
      <c r="B71" t="s">
        <v>46</v>
      </c>
      <c r="C71" t="s">
        <v>12</v>
      </c>
      <c r="F71" s="37">
        <f>+F68</f>
        <v>-5087.052054920583</v>
      </c>
    </row>
    <row r="72" spans="1:10" x14ac:dyDescent="0.25">
      <c r="A72">
        <f t="shared" si="0"/>
        <v>65</v>
      </c>
      <c r="B72" t="s">
        <v>36</v>
      </c>
      <c r="F72" s="42">
        <f>+F70+F71</f>
        <v>38721.74794507942</v>
      </c>
    </row>
    <row r="73" spans="1:10" ht="15.75" thickBot="1" x14ac:dyDescent="0.3">
      <c r="A73">
        <f t="shared" si="0"/>
        <v>66</v>
      </c>
      <c r="B73" t="s">
        <v>52</v>
      </c>
      <c r="F73" s="43">
        <f>+F72/((D8*D13)+(D9*D14))</f>
        <v>0.69145978473356107</v>
      </c>
    </row>
    <row r="74" spans="1:10" x14ac:dyDescent="0.25">
      <c r="A74">
        <f t="shared" ref="A74:A75" si="1">+A73+1</f>
        <v>67</v>
      </c>
    </row>
    <row r="75" spans="1:10" x14ac:dyDescent="0.25">
      <c r="A75">
        <f t="shared" si="1"/>
        <v>68</v>
      </c>
      <c r="B75" t="s">
        <v>53</v>
      </c>
      <c r="C75" t="s">
        <v>12</v>
      </c>
      <c r="F75" s="44">
        <f>-F71/365</f>
        <v>13.937128917590638</v>
      </c>
    </row>
  </sheetData>
  <hyperlinks>
    <hyperlink ref="B5" r:id="rId1" xr:uid="{E22EED07-AF83-4AB4-9D26-D3EEAF4352A7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2:R80"/>
  <sheetViews>
    <sheetView topLeftCell="A19" workbookViewId="0">
      <selection activeCell="B3" sqref="B3:Q3"/>
    </sheetView>
  </sheetViews>
  <sheetFormatPr defaultRowHeight="15" x14ac:dyDescent="0.25"/>
  <cols>
    <col min="1" max="1" width="3" bestFit="1" customWidth="1"/>
    <col min="2" max="2" width="44" bestFit="1" customWidth="1"/>
    <col min="3" max="3" width="6.28515625" bestFit="1" customWidth="1"/>
    <col min="4" max="4" width="7" bestFit="1" customWidth="1"/>
    <col min="5" max="5" width="1.7109375" customWidth="1"/>
    <col min="7" max="7" width="1.7109375" customWidth="1"/>
    <col min="9" max="9" width="1.7109375" customWidth="1"/>
    <col min="11" max="11" width="1.7109375" customWidth="1"/>
    <col min="13" max="13" width="1.7109375" customWidth="1"/>
    <col min="15" max="15" width="1.7109375" customWidth="1"/>
    <col min="17" max="17" width="1.7109375" customWidth="1"/>
  </cols>
  <sheetData>
    <row r="2" spans="1:17" x14ac:dyDescent="0.25">
      <c r="B2" s="51" t="s">
        <v>54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5">
      <c r="B3" s="51" t="s">
        <v>64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5" spans="1:17" x14ac:dyDescent="0.25">
      <c r="D5" s="4" t="s">
        <v>55</v>
      </c>
      <c r="E5" s="4"/>
      <c r="F5" s="4"/>
      <c r="G5" s="4"/>
      <c r="H5" s="4" t="s">
        <v>56</v>
      </c>
      <c r="I5" s="4"/>
      <c r="J5" s="4"/>
      <c r="K5" s="4"/>
      <c r="L5" s="4" t="s">
        <v>57</v>
      </c>
      <c r="M5" s="4"/>
      <c r="N5" s="4"/>
      <c r="O5" s="4"/>
      <c r="P5" s="4" t="s">
        <v>58</v>
      </c>
    </row>
    <row r="8" spans="1:17" x14ac:dyDescent="0.25">
      <c r="C8" s="1" t="s">
        <v>0</v>
      </c>
    </row>
    <row r="9" spans="1:17" x14ac:dyDescent="0.25">
      <c r="A9">
        <v>1</v>
      </c>
      <c r="B9" t="s">
        <v>1</v>
      </c>
      <c r="C9" t="s">
        <v>2</v>
      </c>
      <c r="D9" s="5">
        <v>300</v>
      </c>
      <c r="H9" s="5">
        <v>300</v>
      </c>
      <c r="L9" s="5">
        <v>600</v>
      </c>
      <c r="P9" s="5">
        <v>0</v>
      </c>
    </row>
    <row r="10" spans="1:17" x14ac:dyDescent="0.25">
      <c r="A10">
        <f>+A9+1</f>
        <v>2</v>
      </c>
      <c r="B10" t="s">
        <v>3</v>
      </c>
      <c r="C10" t="s">
        <v>2</v>
      </c>
      <c r="D10" s="5">
        <v>50</v>
      </c>
      <c r="H10" s="5">
        <v>0</v>
      </c>
      <c r="L10" s="5">
        <v>0</v>
      </c>
      <c r="P10" s="5">
        <v>50</v>
      </c>
    </row>
    <row r="11" spans="1:17" x14ac:dyDescent="0.25">
      <c r="A11">
        <f t="shared" ref="A11:A76" si="0">+A10+1</f>
        <v>3</v>
      </c>
      <c r="B11" t="s">
        <v>4</v>
      </c>
      <c r="C11" t="s">
        <v>5</v>
      </c>
      <c r="D11" s="5">
        <v>2.75</v>
      </c>
      <c r="H11" s="5">
        <v>2.75</v>
      </c>
      <c r="L11" s="5">
        <v>2.75</v>
      </c>
      <c r="P11" s="5">
        <v>2.75</v>
      </c>
    </row>
    <row r="12" spans="1:17" x14ac:dyDescent="0.25">
      <c r="A12">
        <f t="shared" si="0"/>
        <v>4</v>
      </c>
      <c r="B12" t="s">
        <v>6</v>
      </c>
      <c r="C12" t="s">
        <v>7</v>
      </c>
      <c r="D12" s="6">
        <f>+D11*1000/(D9+D10)</f>
        <v>7.8571428571428568</v>
      </c>
      <c r="H12" s="6">
        <f>+H11*1000/(H9+H10)</f>
        <v>9.1666666666666661</v>
      </c>
      <c r="L12" s="6">
        <f>+L11*1000/(L9+L10)</f>
        <v>4.583333333333333</v>
      </c>
      <c r="P12" s="6">
        <f>+P11*1000/(P9+P10)</f>
        <v>55</v>
      </c>
    </row>
    <row r="13" spans="1:17" x14ac:dyDescent="0.25">
      <c r="A13">
        <f t="shared" si="0"/>
        <v>5</v>
      </c>
    </row>
    <row r="14" spans="1:17" x14ac:dyDescent="0.25">
      <c r="A14">
        <f t="shared" si="0"/>
        <v>6</v>
      </c>
      <c r="B14" t="s">
        <v>8</v>
      </c>
      <c r="C14" t="s">
        <v>9</v>
      </c>
      <c r="D14" s="32">
        <v>120</v>
      </c>
      <c r="H14" s="32">
        <v>120</v>
      </c>
      <c r="L14" s="32">
        <v>120</v>
      </c>
      <c r="P14" s="32">
        <v>120</v>
      </c>
    </row>
    <row r="15" spans="1:17" x14ac:dyDescent="0.25">
      <c r="A15">
        <f t="shared" si="0"/>
        <v>7</v>
      </c>
      <c r="B15" t="s">
        <v>10</v>
      </c>
      <c r="C15" t="s">
        <v>9</v>
      </c>
      <c r="D15" s="5">
        <v>400</v>
      </c>
      <c r="H15" s="5">
        <v>400</v>
      </c>
      <c r="L15" s="5">
        <v>400</v>
      </c>
      <c r="P15" s="5">
        <v>400</v>
      </c>
    </row>
    <row r="16" spans="1:17" x14ac:dyDescent="0.25">
      <c r="A16">
        <f t="shared" si="0"/>
        <v>8</v>
      </c>
    </row>
    <row r="17" spans="1:17" x14ac:dyDescent="0.25">
      <c r="A17">
        <f t="shared" si="0"/>
        <v>9</v>
      </c>
      <c r="B17" s="1" t="s">
        <v>65</v>
      </c>
    </row>
    <row r="18" spans="1:17" x14ac:dyDescent="0.25">
      <c r="A18">
        <f t="shared" si="0"/>
        <v>10</v>
      </c>
      <c r="B18" t="s">
        <v>11</v>
      </c>
      <c r="C18" t="s">
        <v>12</v>
      </c>
      <c r="D18" s="49">
        <v>14.66</v>
      </c>
      <c r="H18" s="49">
        <v>14.66</v>
      </c>
      <c r="L18" s="49">
        <v>14.66</v>
      </c>
      <c r="P18" s="49">
        <v>14.66</v>
      </c>
    </row>
    <row r="19" spans="1:17" x14ac:dyDescent="0.25">
      <c r="A19">
        <f t="shared" si="0"/>
        <v>11</v>
      </c>
      <c r="B19" t="s">
        <v>13</v>
      </c>
      <c r="C19" t="s">
        <v>12</v>
      </c>
      <c r="D19" s="49">
        <v>14.71</v>
      </c>
      <c r="H19" s="49">
        <v>14.71</v>
      </c>
      <c r="L19" s="49">
        <v>14.71</v>
      </c>
      <c r="P19" s="49">
        <v>14.71</v>
      </c>
    </row>
    <row r="20" spans="1:17" x14ac:dyDescent="0.25">
      <c r="A20">
        <f t="shared" si="0"/>
        <v>12</v>
      </c>
    </row>
    <row r="21" spans="1:17" x14ac:dyDescent="0.25">
      <c r="A21">
        <f t="shared" si="0"/>
        <v>13</v>
      </c>
      <c r="B21" t="s">
        <v>14</v>
      </c>
      <c r="C21" t="s">
        <v>15</v>
      </c>
      <c r="D21" s="50">
        <v>0.7823</v>
      </c>
      <c r="H21" s="50">
        <v>0.7823</v>
      </c>
      <c r="L21" s="50">
        <v>0.7823</v>
      </c>
      <c r="P21" s="50">
        <v>0.7823</v>
      </c>
    </row>
    <row r="22" spans="1:17" x14ac:dyDescent="0.25">
      <c r="A22">
        <f t="shared" si="0"/>
        <v>14</v>
      </c>
      <c r="B22" t="s">
        <v>16</v>
      </c>
      <c r="C22" t="s">
        <v>15</v>
      </c>
      <c r="D22" s="50">
        <f>+D21</f>
        <v>0.7823</v>
      </c>
      <c r="H22" s="50">
        <f>+H21</f>
        <v>0.7823</v>
      </c>
      <c r="L22" s="50">
        <f>+L21</f>
        <v>0.7823</v>
      </c>
      <c r="P22" s="50">
        <f>+P21</f>
        <v>0.7823</v>
      </c>
    </row>
    <row r="23" spans="1:17" x14ac:dyDescent="0.25">
      <c r="A23">
        <f t="shared" si="0"/>
        <v>15</v>
      </c>
      <c r="D23" s="9"/>
      <c r="H23" s="9"/>
      <c r="L23" s="9"/>
      <c r="P23" s="9"/>
    </row>
    <row r="24" spans="1:17" x14ac:dyDescent="0.25">
      <c r="A24">
        <f t="shared" si="0"/>
        <v>16</v>
      </c>
      <c r="B24" s="1" t="s">
        <v>17</v>
      </c>
      <c r="D24" s="9"/>
      <c r="H24" s="9"/>
      <c r="L24" s="9"/>
      <c r="P24" s="9"/>
    </row>
    <row r="25" spans="1:17" x14ac:dyDescent="0.25">
      <c r="A25">
        <f t="shared" si="0"/>
        <v>17</v>
      </c>
      <c r="B25" t="s">
        <v>18</v>
      </c>
      <c r="C25" s="10" t="s">
        <v>19</v>
      </c>
      <c r="D25" s="15">
        <f>4563*C61</f>
        <v>4909.8313145518359</v>
      </c>
      <c r="E25" s="11"/>
      <c r="H25" s="15">
        <f>4563*C61</f>
        <v>4909.8313145518359</v>
      </c>
      <c r="I25" s="11"/>
      <c r="L25" s="15">
        <f>4563*C61</f>
        <v>4909.8313145518359</v>
      </c>
      <c r="M25" s="11"/>
      <c r="P25" s="15">
        <f>4563*C61</f>
        <v>4909.8313145518359</v>
      </c>
      <c r="Q25" s="11"/>
    </row>
    <row r="26" spans="1:17" x14ac:dyDescent="0.25">
      <c r="A26">
        <f t="shared" si="0"/>
        <v>18</v>
      </c>
      <c r="B26" t="s">
        <v>20</v>
      </c>
      <c r="C26" s="10" t="s">
        <v>5</v>
      </c>
      <c r="D26" s="33">
        <f>2858400/1000</f>
        <v>2858.4</v>
      </c>
      <c r="E26" s="11"/>
      <c r="H26" s="33">
        <f>2858400/1000</f>
        <v>2858.4</v>
      </c>
      <c r="I26" s="11"/>
      <c r="L26" s="33">
        <f>2858400/1000</f>
        <v>2858.4</v>
      </c>
      <c r="M26" s="11"/>
      <c r="P26" s="33">
        <f>2858400/1000</f>
        <v>2858.4</v>
      </c>
      <c r="Q26" s="11"/>
    </row>
    <row r="27" spans="1:17" x14ac:dyDescent="0.25">
      <c r="A27">
        <f t="shared" si="0"/>
        <v>19</v>
      </c>
      <c r="B27" s="10" t="s">
        <v>21</v>
      </c>
      <c r="C27" s="10" t="s">
        <v>22</v>
      </c>
      <c r="D27" s="12">
        <f>+D25/(D26)</f>
        <v>1.7176851786145522</v>
      </c>
      <c r="E27" s="11"/>
      <c r="H27" s="12">
        <f>+H25/(H26)</f>
        <v>1.7176851786145522</v>
      </c>
      <c r="I27" s="11"/>
      <c r="L27" s="12">
        <f>+L25/(L26)</f>
        <v>1.7176851786145522</v>
      </c>
      <c r="M27" s="11"/>
      <c r="P27" s="12">
        <f>+P25/(P26)</f>
        <v>1.7176851786145522</v>
      </c>
      <c r="Q27" s="11"/>
    </row>
    <row r="28" spans="1:17" x14ac:dyDescent="0.25">
      <c r="A28">
        <f t="shared" si="0"/>
        <v>20</v>
      </c>
    </row>
    <row r="29" spans="1:17" x14ac:dyDescent="0.25">
      <c r="A29">
        <f t="shared" si="0"/>
        <v>21</v>
      </c>
      <c r="B29" s="1" t="s">
        <v>23</v>
      </c>
      <c r="C29" s="10"/>
      <c r="D29" s="13"/>
      <c r="E29" s="11"/>
      <c r="H29" s="13"/>
      <c r="I29" s="11"/>
      <c r="L29" s="13"/>
      <c r="M29" s="11"/>
      <c r="P29" s="13"/>
      <c r="Q29" s="11"/>
    </row>
    <row r="30" spans="1:17" x14ac:dyDescent="0.25">
      <c r="A30">
        <f t="shared" si="0"/>
        <v>22</v>
      </c>
      <c r="B30" t="s">
        <v>24</v>
      </c>
      <c r="C30" s="10" t="s">
        <v>19</v>
      </c>
      <c r="D30" s="33">
        <f>999*C61</f>
        <v>1074.9334830675616</v>
      </c>
      <c r="E30" s="11"/>
      <c r="H30" s="33">
        <f>999*C61</f>
        <v>1074.9334830675616</v>
      </c>
      <c r="I30" s="11"/>
      <c r="L30" s="33">
        <f>999*C61</f>
        <v>1074.9334830675616</v>
      </c>
      <c r="M30" s="11"/>
      <c r="P30" s="33">
        <f>999*C61</f>
        <v>1074.9334830675616</v>
      </c>
      <c r="Q30" s="11"/>
    </row>
    <row r="31" spans="1:17" x14ac:dyDescent="0.25">
      <c r="A31">
        <f t="shared" si="0"/>
        <v>23</v>
      </c>
      <c r="B31" t="s">
        <v>20</v>
      </c>
      <c r="C31" s="10" t="s">
        <v>5</v>
      </c>
      <c r="D31" s="34">
        <f>+D26</f>
        <v>2858.4</v>
      </c>
      <c r="E31" s="11"/>
      <c r="H31" s="34">
        <f>+H26</f>
        <v>2858.4</v>
      </c>
      <c r="I31" s="11"/>
      <c r="L31" s="34">
        <f>+L26</f>
        <v>2858.4</v>
      </c>
      <c r="M31" s="11"/>
      <c r="P31" s="34">
        <f>+P26</f>
        <v>2858.4</v>
      </c>
      <c r="Q31" s="11"/>
    </row>
    <row r="32" spans="1:17" x14ac:dyDescent="0.25">
      <c r="A32">
        <f t="shared" si="0"/>
        <v>24</v>
      </c>
      <c r="B32" t="s">
        <v>25</v>
      </c>
      <c r="C32" s="10" t="s">
        <v>22</v>
      </c>
      <c r="D32" s="12">
        <f>+D30/(D31)</f>
        <v>0.37606125212271257</v>
      </c>
      <c r="E32" s="11"/>
      <c r="H32" s="12">
        <f>+H30/(H31)</f>
        <v>0.37606125212271257</v>
      </c>
      <c r="I32" s="11"/>
      <c r="L32" s="12">
        <f>+L30/(L31)</f>
        <v>0.37606125212271257</v>
      </c>
      <c r="M32" s="11"/>
      <c r="P32" s="12">
        <f>+P30/(P31)</f>
        <v>0.37606125212271257</v>
      </c>
      <c r="Q32" s="11"/>
    </row>
    <row r="33" spans="1:18" x14ac:dyDescent="0.25">
      <c r="A33">
        <f t="shared" si="0"/>
        <v>25</v>
      </c>
    </row>
    <row r="34" spans="1:18" x14ac:dyDescent="0.25">
      <c r="A34">
        <f t="shared" si="0"/>
        <v>26</v>
      </c>
      <c r="B34" s="2" t="s">
        <v>26</v>
      </c>
      <c r="C34" s="10"/>
      <c r="D34" s="10"/>
      <c r="E34" s="10"/>
      <c r="H34" s="10"/>
      <c r="I34" s="10"/>
      <c r="L34" s="10"/>
      <c r="M34" s="10"/>
      <c r="P34" s="10"/>
      <c r="Q34" s="10"/>
    </row>
    <row r="35" spans="1:18" x14ac:dyDescent="0.25">
      <c r="A35">
        <f t="shared" si="0"/>
        <v>27</v>
      </c>
      <c r="B35" s="14" t="s">
        <v>27</v>
      </c>
      <c r="C35" s="10" t="s">
        <v>2</v>
      </c>
      <c r="D35" s="15">
        <f>+D9+D10</f>
        <v>350</v>
      </c>
      <c r="E35" s="10"/>
      <c r="H35" s="15">
        <f>+H9+H10</f>
        <v>300</v>
      </c>
      <c r="I35" s="10"/>
      <c r="L35" s="15">
        <f>+L9+L10</f>
        <v>600</v>
      </c>
      <c r="M35" s="10"/>
      <c r="P35" s="15">
        <f>+P9+P10</f>
        <v>50</v>
      </c>
      <c r="Q35" s="10"/>
    </row>
    <row r="36" spans="1:18" x14ac:dyDescent="0.25">
      <c r="A36">
        <f t="shared" si="0"/>
        <v>28</v>
      </c>
      <c r="B36" s="14" t="s">
        <v>28</v>
      </c>
      <c r="C36" s="10" t="s">
        <v>12</v>
      </c>
      <c r="D36" s="15">
        <f>250*C61</f>
        <v>269.00237314003044</v>
      </c>
      <c r="E36" s="16"/>
      <c r="F36" s="17"/>
      <c r="H36" s="15">
        <f>250*C61</f>
        <v>269.00237314003044</v>
      </c>
      <c r="I36" s="16"/>
      <c r="J36" s="17"/>
      <c r="L36" s="15">
        <f>250*C61</f>
        <v>269.00237314003044</v>
      </c>
      <c r="M36" s="16"/>
      <c r="N36" s="17"/>
      <c r="P36" s="15">
        <f>250*C61</f>
        <v>269.00237314003044</v>
      </c>
      <c r="Q36" s="16"/>
      <c r="R36" s="17"/>
    </row>
    <row r="37" spans="1:18" x14ac:dyDescent="0.25">
      <c r="A37">
        <f t="shared" si="0"/>
        <v>29</v>
      </c>
      <c r="B37" s="14" t="s">
        <v>29</v>
      </c>
      <c r="C37" s="10"/>
      <c r="D37" s="35">
        <v>4.7399999999999998E-2</v>
      </c>
      <c r="E37" s="18"/>
      <c r="F37" s="19"/>
      <c r="H37" s="35">
        <v>4.7399999999999998E-2</v>
      </c>
      <c r="I37" s="18"/>
      <c r="J37" s="19"/>
      <c r="L37" s="35">
        <v>4.7399999999999998E-2</v>
      </c>
      <c r="M37" s="18"/>
      <c r="N37" s="19"/>
      <c r="P37" s="35">
        <v>4.7399999999999998E-2</v>
      </c>
      <c r="Q37" s="18"/>
      <c r="R37" s="19"/>
    </row>
    <row r="38" spans="1:18" x14ac:dyDescent="0.25">
      <c r="A38">
        <f t="shared" si="0"/>
        <v>30</v>
      </c>
      <c r="B38" s="14" t="s">
        <v>30</v>
      </c>
      <c r="C38" s="10" t="s">
        <v>12</v>
      </c>
      <c r="D38" s="20">
        <f>+D36*D37</f>
        <v>12.750712486837442</v>
      </c>
      <c r="E38" s="18"/>
      <c r="F38" s="19"/>
      <c r="H38" s="20">
        <f>+H36*H37</f>
        <v>12.750712486837442</v>
      </c>
      <c r="I38" s="18"/>
      <c r="J38" s="19"/>
      <c r="L38" s="20">
        <f>+L36*L37</f>
        <v>12.750712486837442</v>
      </c>
      <c r="M38" s="18"/>
      <c r="N38" s="19"/>
      <c r="P38" s="20">
        <f>+P36*P37</f>
        <v>12.750712486837442</v>
      </c>
      <c r="Q38" s="18"/>
      <c r="R38" s="19"/>
    </row>
    <row r="39" spans="1:18" ht="15.75" thickBot="1" x14ac:dyDescent="0.3">
      <c r="A39">
        <f t="shared" si="0"/>
        <v>31</v>
      </c>
      <c r="D39" s="9"/>
      <c r="H39" s="9"/>
      <c r="L39" s="9"/>
      <c r="P39" s="9"/>
    </row>
    <row r="40" spans="1:18" ht="15.75" thickBot="1" x14ac:dyDescent="0.3">
      <c r="A40">
        <f t="shared" si="0"/>
        <v>32</v>
      </c>
      <c r="B40" s="1" t="s">
        <v>31</v>
      </c>
      <c r="C40" s="1" t="s">
        <v>12</v>
      </c>
      <c r="D40" s="21">
        <f>+(D11*1000*D27)+(D11*1000*D32)+(D35*D36*D37)</f>
        <v>10220.552054920583</v>
      </c>
      <c r="H40" s="21">
        <f>+(H11*1000*H27)+(H11*1000*H32)+(H35*H36*H37)</f>
        <v>9583.0164305787112</v>
      </c>
      <c r="L40" s="21">
        <f>+(L11*1000*L27)+(L11*1000*L32)+(L35*L36*L37)</f>
        <v>13408.230176629942</v>
      </c>
      <c r="P40" s="21">
        <f>+(P11*1000*P27)+(P11*1000*P32)+(P35*P36*P37)</f>
        <v>6395.3383088693499</v>
      </c>
    </row>
    <row r="41" spans="1:18" x14ac:dyDescent="0.25">
      <c r="A41">
        <f t="shared" si="0"/>
        <v>33</v>
      </c>
      <c r="D41" s="9"/>
      <c r="H41" s="9"/>
      <c r="L41" s="9"/>
      <c r="P41" s="9"/>
    </row>
    <row r="42" spans="1:18" x14ac:dyDescent="0.25">
      <c r="A42">
        <f t="shared" si="0"/>
        <v>34</v>
      </c>
      <c r="D42" s="9" t="s">
        <v>32</v>
      </c>
      <c r="F42" t="s">
        <v>33</v>
      </c>
      <c r="H42" s="9" t="s">
        <v>32</v>
      </c>
      <c r="J42" t="s">
        <v>33</v>
      </c>
      <c r="L42" s="9" t="s">
        <v>32</v>
      </c>
      <c r="N42" t="s">
        <v>33</v>
      </c>
      <c r="P42" s="9" t="s">
        <v>32</v>
      </c>
      <c r="R42" t="s">
        <v>33</v>
      </c>
    </row>
    <row r="43" spans="1:18" x14ac:dyDescent="0.25">
      <c r="A43">
        <f t="shared" si="0"/>
        <v>35</v>
      </c>
      <c r="D43" s="9" t="s">
        <v>12</v>
      </c>
      <c r="F43" t="s">
        <v>15</v>
      </c>
      <c r="H43" s="9" t="s">
        <v>12</v>
      </c>
      <c r="J43" t="s">
        <v>15</v>
      </c>
      <c r="L43" s="9" t="s">
        <v>12</v>
      </c>
      <c r="N43" t="s">
        <v>15</v>
      </c>
      <c r="P43" s="9" t="s">
        <v>12</v>
      </c>
      <c r="R43" t="s">
        <v>15</v>
      </c>
    </row>
    <row r="44" spans="1:18" ht="15.75" thickBot="1" x14ac:dyDescent="0.3">
      <c r="A44">
        <f t="shared" si="0"/>
        <v>36</v>
      </c>
      <c r="D44" s="9"/>
      <c r="H44" s="9"/>
      <c r="L44" s="9"/>
      <c r="P44" s="9"/>
    </row>
    <row r="45" spans="1:18" ht="15.75" thickBot="1" x14ac:dyDescent="0.3">
      <c r="A45">
        <f t="shared" si="0"/>
        <v>37</v>
      </c>
      <c r="B45" s="1" t="s">
        <v>34</v>
      </c>
      <c r="C45" t="s">
        <v>12</v>
      </c>
      <c r="D45" s="21">
        <f>+((D9*D18)+(D10*D19)+(D9*D14*D21)+(D10*D15*D22))</f>
        <v>48942.3</v>
      </c>
      <c r="F45" s="22">
        <f>+D45/((D9*D14)+(D10*D15))</f>
        <v>0.87396964285714296</v>
      </c>
      <c r="H45" s="21">
        <f>+((H9*H18)+(H10*H19)+(H9*H14*H21)+(H10*H15*H22))</f>
        <v>32560.799999999999</v>
      </c>
      <c r="J45" s="22">
        <f>+H45/((H9*H14)+(H10*H15))</f>
        <v>0.90446666666666664</v>
      </c>
      <c r="L45" s="21">
        <f>+((L9*L18)+(L10*L19)+(L9*L14*L21)+(L10*L15*L22))</f>
        <v>65121.599999999999</v>
      </c>
      <c r="N45" s="22">
        <f>+L45/((L9*L14)+(L10*L15))</f>
        <v>0.90446666666666664</v>
      </c>
      <c r="P45" s="21">
        <f>+((P9*P18)+(P10*P19)+(P9*P14*P21)+(P10*P15*P22))</f>
        <v>16381.5</v>
      </c>
      <c r="R45" s="22">
        <f>+P45/((P9*P14)+(P10*P15))</f>
        <v>0.819075</v>
      </c>
    </row>
    <row r="46" spans="1:18" ht="15.75" thickBot="1" x14ac:dyDescent="0.3">
      <c r="A46">
        <f t="shared" si="0"/>
        <v>38</v>
      </c>
      <c r="D46" s="23"/>
      <c r="H46" s="23"/>
      <c r="L46" s="23"/>
      <c r="P46" s="23"/>
    </row>
    <row r="47" spans="1:18" ht="15.75" thickBot="1" x14ac:dyDescent="0.3">
      <c r="A47">
        <f t="shared" si="0"/>
        <v>39</v>
      </c>
      <c r="B47" s="2" t="s">
        <v>35</v>
      </c>
      <c r="C47" s="10"/>
      <c r="D47" s="21">
        <f>+D40</f>
        <v>10220.552054920583</v>
      </c>
      <c r="E47" s="10"/>
      <c r="H47" s="21">
        <f>+H40</f>
        <v>9583.0164305787112</v>
      </c>
      <c r="I47" s="10"/>
      <c r="L47" s="21">
        <f>+L40</f>
        <v>13408.230176629942</v>
      </c>
      <c r="M47" s="10"/>
      <c r="P47" s="21">
        <f>+P40</f>
        <v>6395.3383088693499</v>
      </c>
      <c r="Q47" s="10"/>
    </row>
    <row r="48" spans="1:18" ht="15.75" thickBot="1" x14ac:dyDescent="0.3">
      <c r="A48">
        <f t="shared" si="0"/>
        <v>40</v>
      </c>
    </row>
    <row r="49" spans="1:18" ht="15.75" thickBot="1" x14ac:dyDescent="0.3">
      <c r="A49">
        <f t="shared" si="0"/>
        <v>41</v>
      </c>
      <c r="B49" s="1" t="s">
        <v>36</v>
      </c>
      <c r="D49" s="21">
        <f>+D45-D47</f>
        <v>38721.74794507942</v>
      </c>
      <c r="F49" s="22">
        <f>+D49/((D9*D14)+(D10*D15))</f>
        <v>0.69145978473356107</v>
      </c>
      <c r="H49" s="21">
        <f>+H45-H47</f>
        <v>22977.783569421288</v>
      </c>
      <c r="J49" s="22">
        <f>+H49/((H9*H14)+(H10*H15))</f>
        <v>0.63827176581725797</v>
      </c>
      <c r="L49" s="21">
        <f>+L45-L47</f>
        <v>51713.369823370056</v>
      </c>
      <c r="N49" s="22">
        <f>+L49/((L9*L14)+(L10*L15))</f>
        <v>0.71824124754680629</v>
      </c>
      <c r="P49" s="21">
        <f>+P45-P47</f>
        <v>9986.1616911306501</v>
      </c>
      <c r="R49" s="22">
        <f>+P49/((P9*P14)+(P10*P15))</f>
        <v>0.49930808455653253</v>
      </c>
    </row>
    <row r="50" spans="1:18" x14ac:dyDescent="0.25">
      <c r="A50">
        <f t="shared" si="0"/>
        <v>42</v>
      </c>
    </row>
    <row r="51" spans="1:18" x14ac:dyDescent="0.25">
      <c r="A51">
        <f t="shared" si="0"/>
        <v>43</v>
      </c>
      <c r="B51" s="1" t="s">
        <v>37</v>
      </c>
      <c r="D51" s="24">
        <f>+(D49/D45)-1</f>
        <v>-0.20882860133096692</v>
      </c>
      <c r="F51" s="24">
        <f>+(F49/F45)-1</f>
        <v>-0.20882860133096692</v>
      </c>
      <c r="H51" s="24">
        <f>+(H49/H45)-1</f>
        <v>-0.2943114552031495</v>
      </c>
      <c r="J51" s="24">
        <f>+(J49/J45)-1</f>
        <v>-0.29431145520314961</v>
      </c>
      <c r="L51" s="24">
        <f>+(L49/L45)-1</f>
        <v>-0.20589528169808391</v>
      </c>
      <c r="N51" s="24">
        <f>+(N49/N45)-1</f>
        <v>-0.20589528169808402</v>
      </c>
      <c r="P51" s="24">
        <f>+(P49/P45)-1</f>
        <v>-0.3904000432725544</v>
      </c>
      <c r="R51" s="24">
        <f>+(R49/R45)-1</f>
        <v>-0.3904000432725544</v>
      </c>
    </row>
    <row r="52" spans="1:18" x14ac:dyDescent="0.25">
      <c r="A52">
        <f t="shared" si="0"/>
        <v>44</v>
      </c>
    </row>
    <row r="53" spans="1:18" x14ac:dyDescent="0.25">
      <c r="A53">
        <f t="shared" si="0"/>
        <v>45</v>
      </c>
      <c r="B53" s="1" t="s">
        <v>38</v>
      </c>
    </row>
    <row r="54" spans="1:18" x14ac:dyDescent="0.25">
      <c r="A54">
        <f t="shared" si="0"/>
        <v>46</v>
      </c>
      <c r="B54" s="47" t="s">
        <v>44</v>
      </c>
      <c r="C54" s="3">
        <v>284.60000000000002</v>
      </c>
    </row>
    <row r="55" spans="1:18" x14ac:dyDescent="0.25">
      <c r="A55">
        <f t="shared" si="0"/>
        <v>47</v>
      </c>
      <c r="B55" s="25" t="s">
        <v>39</v>
      </c>
      <c r="C55">
        <v>283.3</v>
      </c>
    </row>
    <row r="56" spans="1:18" x14ac:dyDescent="0.25">
      <c r="A56">
        <f t="shared" si="0"/>
        <v>48</v>
      </c>
    </row>
    <row r="57" spans="1:18" x14ac:dyDescent="0.25">
      <c r="A57">
        <f t="shared" si="0"/>
        <v>49</v>
      </c>
      <c r="B57" s="26" t="s">
        <v>40</v>
      </c>
    </row>
    <row r="58" spans="1:18" x14ac:dyDescent="0.25">
      <c r="A58">
        <f t="shared" si="0"/>
        <v>50</v>
      </c>
      <c r="B58" s="27" t="s">
        <v>62</v>
      </c>
      <c r="C58" s="3">
        <v>114.5</v>
      </c>
    </row>
    <row r="59" spans="1:18" x14ac:dyDescent="0.25">
      <c r="A59">
        <f t="shared" si="0"/>
        <v>51</v>
      </c>
      <c r="B59" s="27" t="s">
        <v>41</v>
      </c>
      <c r="C59">
        <v>106.9</v>
      </c>
    </row>
    <row r="60" spans="1:18" x14ac:dyDescent="0.25">
      <c r="A60">
        <f t="shared" si="0"/>
        <v>52</v>
      </c>
      <c r="B60" s="27"/>
    </row>
    <row r="61" spans="1:18" x14ac:dyDescent="0.25">
      <c r="A61">
        <f t="shared" si="0"/>
        <v>53</v>
      </c>
      <c r="B61" t="s">
        <v>42</v>
      </c>
      <c r="C61" s="28">
        <f>+(C54/C55)*C58/C59</f>
        <v>1.0760094925601218</v>
      </c>
    </row>
    <row r="62" spans="1:18" x14ac:dyDescent="0.25">
      <c r="A62">
        <f t="shared" si="0"/>
        <v>54</v>
      </c>
      <c r="B62" s="29" t="s">
        <v>43</v>
      </c>
      <c r="C62" s="30">
        <f>+C61-1</f>
        <v>7.6009492560121794E-2</v>
      </c>
    </row>
    <row r="63" spans="1:18" x14ac:dyDescent="0.25">
      <c r="A63">
        <f t="shared" si="0"/>
        <v>55</v>
      </c>
    </row>
    <row r="64" spans="1:18" ht="15.75" thickBot="1" x14ac:dyDescent="0.3">
      <c r="A64">
        <f t="shared" si="0"/>
        <v>56</v>
      </c>
      <c r="B64" s="1" t="s">
        <v>45</v>
      </c>
    </row>
    <row r="65" spans="1:18" x14ac:dyDescent="0.25">
      <c r="A65">
        <f t="shared" si="0"/>
        <v>57</v>
      </c>
      <c r="B65" t="s">
        <v>46</v>
      </c>
      <c r="C65" t="s">
        <v>12</v>
      </c>
      <c r="F65" s="36">
        <f>+(D9*D18)+(D10*D19)</f>
        <v>5133.5</v>
      </c>
      <c r="J65" s="36">
        <f>+(H9*H18)+(H10*H19)</f>
        <v>4398</v>
      </c>
      <c r="N65" s="36">
        <f>+(L9*L18)+(L10*L19)</f>
        <v>8796</v>
      </c>
      <c r="R65" s="36">
        <f>+(P9*P18)+(P10*P19)</f>
        <v>735.5</v>
      </c>
    </row>
    <row r="66" spans="1:18" x14ac:dyDescent="0.25">
      <c r="A66">
        <f t="shared" si="0"/>
        <v>58</v>
      </c>
      <c r="B66" t="s">
        <v>47</v>
      </c>
      <c r="C66" t="s">
        <v>12</v>
      </c>
      <c r="F66" s="37">
        <f>+(D9*D14*D21)+(D10*D15*D22)</f>
        <v>43808.800000000003</v>
      </c>
      <c r="J66" s="37">
        <f>+(H9*H14*H21)+(H10*H15*H22)</f>
        <v>28162.799999999999</v>
      </c>
      <c r="N66" s="37">
        <f>+(L9*L14*L21)+(L10*L15*L22)</f>
        <v>56325.599999999999</v>
      </c>
      <c r="R66" s="37">
        <f>+(P9*P14*P21)+(P10*P15*P22)</f>
        <v>15646</v>
      </c>
    </row>
    <row r="67" spans="1:18" x14ac:dyDescent="0.25">
      <c r="A67">
        <f t="shared" si="0"/>
        <v>59</v>
      </c>
      <c r="B67" t="s">
        <v>48</v>
      </c>
      <c r="F67" s="37">
        <f>+D47</f>
        <v>10220.552054920583</v>
      </c>
      <c r="J67" s="37">
        <f>+H47</f>
        <v>9583.0164305787112</v>
      </c>
      <c r="N67" s="37">
        <f>+L47</f>
        <v>13408.230176629942</v>
      </c>
      <c r="R67" s="37">
        <f>+P47</f>
        <v>6395.3383088693499</v>
      </c>
    </row>
    <row r="68" spans="1:18" ht="15.75" thickBot="1" x14ac:dyDescent="0.3">
      <c r="A68">
        <f t="shared" si="0"/>
        <v>60</v>
      </c>
      <c r="B68" t="s">
        <v>36</v>
      </c>
      <c r="C68" t="s">
        <v>12</v>
      </c>
      <c r="F68" s="38">
        <f>+F65+F66-F67</f>
        <v>38721.74794507942</v>
      </c>
      <c r="J68" s="38">
        <f>+J65+J66-J67</f>
        <v>22977.783569421288</v>
      </c>
      <c r="N68" s="38">
        <f>+N65+N66-N67</f>
        <v>51713.369823370056</v>
      </c>
      <c r="R68" s="38">
        <f>+R65+R66-R67</f>
        <v>9986.1616911306501</v>
      </c>
    </row>
    <row r="69" spans="1:18" ht="15.75" thickBot="1" x14ac:dyDescent="0.3">
      <c r="A69">
        <f t="shared" si="0"/>
        <v>61</v>
      </c>
    </row>
    <row r="70" spans="1:18" x14ac:dyDescent="0.25">
      <c r="A70">
        <f t="shared" si="0"/>
        <v>62</v>
      </c>
      <c r="B70" t="s">
        <v>49</v>
      </c>
      <c r="C70" t="s">
        <v>15</v>
      </c>
      <c r="F70" s="39">
        <f>+D21</f>
        <v>0.7823</v>
      </c>
      <c r="J70" s="39">
        <f>+H21</f>
        <v>0.7823</v>
      </c>
      <c r="N70" s="39">
        <f>+L21</f>
        <v>0.7823</v>
      </c>
      <c r="R70" s="39">
        <f>+P21</f>
        <v>0.7823</v>
      </c>
    </row>
    <row r="71" spans="1:18" ht="15.75" thickBot="1" x14ac:dyDescent="0.3">
      <c r="A71">
        <f t="shared" si="0"/>
        <v>63</v>
      </c>
      <c r="B71" t="s">
        <v>50</v>
      </c>
      <c r="C71" t="s">
        <v>12</v>
      </c>
      <c r="F71" s="38">
        <f>+F68-F66</f>
        <v>-5087.052054920583</v>
      </c>
      <c r="J71" s="38">
        <f>+J68-J66</f>
        <v>-5185.0164305787112</v>
      </c>
      <c r="N71" s="38">
        <f>+N68-N66</f>
        <v>-4612.2301766299424</v>
      </c>
      <c r="R71" s="38">
        <f>+R68-R66</f>
        <v>-5659.8383088693499</v>
      </c>
    </row>
    <row r="72" spans="1:18" ht="15.75" thickBot="1" x14ac:dyDescent="0.3">
      <c r="A72">
        <f t="shared" si="0"/>
        <v>64</v>
      </c>
    </row>
    <row r="73" spans="1:18" x14ac:dyDescent="0.25">
      <c r="A73">
        <f t="shared" si="0"/>
        <v>65</v>
      </c>
      <c r="B73" t="s">
        <v>51</v>
      </c>
      <c r="C73" t="s">
        <v>9</v>
      </c>
      <c r="F73" s="40">
        <f>+F66</f>
        <v>43808.800000000003</v>
      </c>
      <c r="J73" s="40">
        <f>+J66</f>
        <v>28162.799999999999</v>
      </c>
      <c r="N73" s="40">
        <f>+N66</f>
        <v>56325.599999999999</v>
      </c>
      <c r="R73" s="40">
        <f>+R66</f>
        <v>15646</v>
      </c>
    </row>
    <row r="74" spans="1:18" x14ac:dyDescent="0.25">
      <c r="A74">
        <f t="shared" si="0"/>
        <v>66</v>
      </c>
      <c r="B74" t="s">
        <v>46</v>
      </c>
      <c r="C74" t="s">
        <v>12</v>
      </c>
      <c r="F74" s="37">
        <f>+F71</f>
        <v>-5087.052054920583</v>
      </c>
      <c r="J74" s="37">
        <f>+J71</f>
        <v>-5185.0164305787112</v>
      </c>
      <c r="N74" s="37">
        <f>+N71</f>
        <v>-4612.2301766299424</v>
      </c>
      <c r="R74" s="37">
        <f>+R71</f>
        <v>-5659.8383088693499</v>
      </c>
    </row>
    <row r="75" spans="1:18" x14ac:dyDescent="0.25">
      <c r="A75">
        <f t="shared" si="0"/>
        <v>67</v>
      </c>
      <c r="B75" t="s">
        <v>36</v>
      </c>
      <c r="F75" s="42">
        <f>+F73+F74</f>
        <v>38721.74794507942</v>
      </c>
      <c r="J75" s="42">
        <f>+J73+J74</f>
        <v>22977.783569421288</v>
      </c>
      <c r="N75" s="42">
        <f>+N73+N74</f>
        <v>51713.369823370056</v>
      </c>
      <c r="R75" s="42">
        <f>+R73+R74</f>
        <v>9986.1616911306501</v>
      </c>
    </row>
    <row r="76" spans="1:18" ht="15.75" thickBot="1" x14ac:dyDescent="0.3">
      <c r="A76">
        <f t="shared" si="0"/>
        <v>68</v>
      </c>
      <c r="B76" t="s">
        <v>52</v>
      </c>
      <c r="F76" s="43">
        <f>+F75/((D9*D14)+(D10*D15))</f>
        <v>0.69145978473356107</v>
      </c>
      <c r="J76" s="43">
        <f>+J75/((H9*H14)+(H10*H15))</f>
        <v>0.63827176581725797</v>
      </c>
      <c r="N76" s="43">
        <f>+N75/((L9*L14)+(L10*L15))</f>
        <v>0.71824124754680629</v>
      </c>
      <c r="R76" s="43">
        <f>+R75/((P9*P14)+(P10*P15))</f>
        <v>0.49930808455653253</v>
      </c>
    </row>
    <row r="77" spans="1:18" x14ac:dyDescent="0.25">
      <c r="A77">
        <f t="shared" ref="A77:A80" si="1">+A76+1</f>
        <v>69</v>
      </c>
    </row>
    <row r="78" spans="1:18" ht="15.75" thickBot="1" x14ac:dyDescent="0.3">
      <c r="A78">
        <f t="shared" si="1"/>
        <v>70</v>
      </c>
      <c r="B78" t="s">
        <v>59</v>
      </c>
      <c r="F78" s="44"/>
      <c r="J78" s="44"/>
      <c r="N78" s="44"/>
      <c r="R78" s="44"/>
    </row>
    <row r="79" spans="1:18" x14ac:dyDescent="0.25">
      <c r="A79">
        <f t="shared" si="1"/>
        <v>71</v>
      </c>
      <c r="B79" t="s">
        <v>60</v>
      </c>
      <c r="C79" t="s">
        <v>15</v>
      </c>
      <c r="F79" s="39">
        <f>+F70</f>
        <v>0.7823</v>
      </c>
      <c r="J79" s="39">
        <f>+J70</f>
        <v>0.7823</v>
      </c>
      <c r="N79" s="39">
        <f>+N70</f>
        <v>0.7823</v>
      </c>
      <c r="R79" s="39">
        <f>+R70</f>
        <v>0.7823</v>
      </c>
    </row>
    <row r="80" spans="1:18" ht="15.75" thickBot="1" x14ac:dyDescent="0.3">
      <c r="A80">
        <f t="shared" si="1"/>
        <v>72</v>
      </c>
      <c r="B80" t="s">
        <v>61</v>
      </c>
      <c r="C80" s="7" t="s">
        <v>12</v>
      </c>
      <c r="F80" s="45">
        <f>-F71/365</f>
        <v>13.937128917590638</v>
      </c>
      <c r="J80" s="45">
        <f>-J71/365</f>
        <v>14.205524467338934</v>
      </c>
      <c r="N80" s="45">
        <f>-N71/365</f>
        <v>12.636247059260116</v>
      </c>
      <c r="R80" s="45">
        <f>-R71/365</f>
        <v>15.506406325669452</v>
      </c>
    </row>
  </sheetData>
  <mergeCells count="2">
    <mergeCell ref="B2:Q2"/>
    <mergeCell ref="B3:Q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Ready Reckoner 22-23</vt:lpstr>
      <vt:lpstr>Scenarios 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Lale</dc:creator>
  <cp:lastModifiedBy>Jamie Jones</cp:lastModifiedBy>
  <cp:lastPrinted>2021-02-16T16:02:04Z</cp:lastPrinted>
  <dcterms:created xsi:type="dcterms:W3CDTF">2021-02-16T15:22:04Z</dcterms:created>
  <dcterms:modified xsi:type="dcterms:W3CDTF">2022-03-18T08:51:58Z</dcterms:modified>
</cp:coreProperties>
</file>